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15.xml" ContentType="application/vnd.openxmlformats-officedocument.spreadsheetml.externalLink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comments2.xml" ContentType="application/vnd.openxmlformats-officedocument.spreadsheetml.comment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externalLinks/externalLink10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9705" yWindow="-15" windowWidth="9540" windowHeight="7545" activeTab="2"/>
  </bookViews>
  <sheets>
    <sheet name="Summary" sheetId="1" r:id="rId1"/>
    <sheet name="Page 2 - Core Income " sheetId="2" r:id="rId2"/>
    <sheet name="Page 3 - Core Expenditure" sheetId="3" r:id="rId3"/>
    <sheet name="Page 4 - Non Core Income &amp; Exp" sheetId="6" r:id="rId4"/>
    <sheet name="Page 5 - Efficiency savings" sheetId="4" r:id="rId5"/>
    <sheet name="Page 6 - Capital Expenditure" sheetId="5" r:id="rId6"/>
  </sheets>
  <externalReferences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</externalReferences>
  <definedNames>
    <definedName name="_701">'[1]Comparison at acc'!#REF!</definedName>
    <definedName name="_861">'[1]Comparison at acc'!#REF!</definedName>
    <definedName name="_862">'[1]Comparison at acc'!#REF!</definedName>
    <definedName name="_afc1">#REF!</definedName>
    <definedName name="_pd1">#REF!</definedName>
    <definedName name="_pd2">#REF!</definedName>
    <definedName name="_pd3">#REF!</definedName>
    <definedName name="_PD4">#REF!</definedName>
    <definedName name="_piv1">#REF!</definedName>
    <definedName name="_piv2">#REF!</definedName>
    <definedName name="_piv3">#REF!</definedName>
    <definedName name="_piv4">#REF!</definedName>
    <definedName name="_piv5">#REF!</definedName>
    <definedName name="_rep2">'[2]Variance Trend  09-10 @ Per -09'!#REF!</definedName>
    <definedName name="_rep3">'[2]Variance Trend  09-10 @ Per -09'!#REF!</definedName>
    <definedName name="_rep4">'[2]Variance Trend  09-10 @ Per -09'!#REF!</definedName>
    <definedName name="_rep5">'[2]Variance Trend  09-10 @ Per -09'!#REF!</definedName>
    <definedName name="_rep6">'[2]Variance Trend  09-10 @ Per -09'!#REF!</definedName>
    <definedName name="Admin">'[3]BUD-HTL-02'!#REF!</definedName>
    <definedName name="Admin_Payroll">'[3]BUD-HTL-02'!#REF!</definedName>
    <definedName name="admits">#REF!</definedName>
    <definedName name="afc">#REF!</definedName>
    <definedName name="allow">#REF!</definedName>
    <definedName name="annleave">#REF!</definedName>
    <definedName name="AP">#REF!</definedName>
    <definedName name="AT">[4]Data!$A$4</definedName>
    <definedName name="band">#REF!</definedName>
    <definedName name="Base">#REF!</definedName>
    <definedName name="basic">[5]Formulae!#REF!</definedName>
    <definedName name="Beardmore__Hotel_Room_Analysis_1996">'[3]BUD-HTL-02'!#REF!</definedName>
    <definedName name="Cash_Flow_Statement_1997">'[6]BUD_0506-HTL'!#REF!</definedName>
    <definedName name="CC_MANAGERS">[7]GLOBAL!$R$2:$T$60</definedName>
    <definedName name="com_Jnl_P11_Reveiw">#REF!</definedName>
    <definedName name="Driver">[4]Data!$A$5</definedName>
    <definedName name="e">'[3]BUD-HTL-02'!#REF!</definedName>
    <definedName name="enh">#REF!</definedName>
    <definedName name="entdate">#REF!</definedName>
    <definedName name="FB_Income">'[3]BUD-HTL-02'!#REF!</definedName>
    <definedName name="FB_Operating_Expenses">'[3]BUD-HTL-02'!#REF!</definedName>
    <definedName name="FOOD_AND_BEVERAGE">'[3]BUD-HTL-02'!#REF!</definedName>
    <definedName name="Front_Office_Payroll">'[3]BUD-HTL-02'!#REF!</definedName>
    <definedName name="Gross_Payrolls">'[3]BUD-HTL-02'!#REF!</definedName>
    <definedName name="Hours_per_shift">#REF!</definedName>
    <definedName name="Housekeeping_Payroll">'[3]BUD-HTL-02'!#REF!</definedName>
    <definedName name="Human_Resources">'[3]BUD-HTL-02'!#REF!</definedName>
    <definedName name="ICU_HPPD">#REF!</definedName>
    <definedName name="Kitchen_Payroll">'[3]BUD-HTL-02'!#REF!</definedName>
    <definedName name="leases">#REF!</definedName>
    <definedName name="leaveent">#REF!</definedName>
    <definedName name="Leisure_Centre">'[3]BUD-HTL-02'!#REF!</definedName>
    <definedName name="Leisure_Payroll">'[3]BUD-HTL-02'!#REF!</definedName>
    <definedName name="Maintenance">'[3]BUD-HTL-02'!#REF!</definedName>
    <definedName name="mayanaesthetist">[8]Procedures!#REF!</definedName>
    <definedName name="maydates">[8]Procedures!#REF!</definedName>
    <definedName name="mayspeciality">[8]Procedures!#REF!</definedName>
    <definedName name="maysurgeons">[8]Procedures!#REF!</definedName>
    <definedName name="months">#REF!</definedName>
    <definedName name="New_Allocation">#REF!</definedName>
    <definedName name="NIC_RATE">[9]VARIABLES!$A$10</definedName>
    <definedName name="NU_ALOS">#REF!</definedName>
    <definedName name="NU_HPPD">#REF!</definedName>
    <definedName name="nu_p1">[10]THEATRE!#REF!</definedName>
    <definedName name="nu_p2">[10]THEATRE!#REF!</definedName>
    <definedName name="Nursing_Hours_Per_Patient_Day">#REF!</definedName>
    <definedName name="Opening">#REF!</definedName>
    <definedName name="Other_Income">'[3]BUD-HTL-02'!#REF!</definedName>
    <definedName name="padys">#REF!</definedName>
    <definedName name="Page1">#REF!</definedName>
    <definedName name="page2">#REF!</definedName>
    <definedName name="page3">#REF!</definedName>
    <definedName name="page4">'[11]Activity Analysis- by Specialty'!#REF!</definedName>
    <definedName name="page5">'[11]Activity Analysis- by Specialty'!#REF!</definedName>
    <definedName name="PatDays">#REF!</definedName>
    <definedName name="PATIENT_DAYS">#REF!</definedName>
    <definedName name="PAY_SCALES_FOR_AL_ENT_FOR_AFC">#REF!</definedName>
    <definedName name="pdays">#REF!</definedName>
    <definedName name="percent_table">#REF!</definedName>
    <definedName name="Percentage_Cover_Required">#REF!</definedName>
    <definedName name="_xlnm.Print_Area" localSheetId="1">'Page 2 - Core Income '!$C$1:$S$25</definedName>
    <definedName name="_xlnm.Print_Area" localSheetId="2">'Page 3 - Core Expenditure'!$C$1:$S$37</definedName>
    <definedName name="_xlnm.Print_Area" localSheetId="3">'Page 4 - Non Core Income &amp; Exp'!$B$1:$U$32</definedName>
    <definedName name="_xlnm.Print_Area" localSheetId="4">'Page 5 - Efficiency savings'!$B$1:$K$21</definedName>
    <definedName name="_xlnm.Print_Area" localSheetId="5">'Page 6 - Capital Expenditure'!$B$2:$J$105</definedName>
    <definedName name="_xlnm.Print_Area" localSheetId="0">Summary!$C$3:$S$56</definedName>
    <definedName name="Profit_Loss">'[6]BUD_0506-HTL'!#REF!</definedName>
    <definedName name="Query1">#REF!</definedName>
    <definedName name="Query1jantr">#REF!</definedName>
    <definedName name="Query2">#REF!</definedName>
    <definedName name="Query4">#REF!</definedName>
    <definedName name="_xlnm.Recorder">#REF!</definedName>
    <definedName name="Restaurants_Payroll">'[3]BUD-HTL-02'!#REF!</definedName>
    <definedName name="Return_on_Capital">[12]Parameters!$C$5</definedName>
    <definedName name="ROOMS_DIVISION">'[3]BUD-HTL-02'!#REF!</definedName>
    <definedName name="ROOMS_SUMMARY">'[3]BUD-HTL-02'!#REF!</definedName>
    <definedName name="rrp">#REF!</definedName>
    <definedName name="Salaries">#REF!</definedName>
    <definedName name="Sales_Marketing">'[3]BUD-HTL-02'!#REF!</definedName>
    <definedName name="SCALES">#REF!</definedName>
    <definedName name="SPREAD_RULES">[7]GLOBAL!$B$9:$O$31</definedName>
    <definedName name="sum">'[13]cf 2001'!#REF!</definedName>
    <definedName name="summary">'[3]BUD-HTL-02'!#REF!</definedName>
    <definedName name="Supplies">#REF!</definedName>
    <definedName name="tabboard">#REF!</definedName>
    <definedName name="Telephones">'[3]BUD-HTL-02'!#REF!</definedName>
    <definedName name="xxxx">#REF!</definedName>
  </definedNames>
  <calcPr calcId="125725"/>
</workbook>
</file>

<file path=xl/calcChain.xml><?xml version="1.0" encoding="utf-8"?>
<calcChain xmlns="http://schemas.openxmlformats.org/spreadsheetml/2006/main">
  <c r="K36" i="3"/>
  <c r="M36"/>
  <c r="K12" i="2"/>
  <c r="M12" s="1"/>
  <c r="E12"/>
  <c r="G12" s="1"/>
  <c r="M26" i="3"/>
  <c r="K7" i="4"/>
  <c r="H10"/>
  <c r="K10"/>
  <c r="H11"/>
  <c r="K11"/>
  <c r="H12"/>
  <c r="K12"/>
  <c r="H13"/>
  <c r="K13"/>
  <c r="H14"/>
  <c r="K14"/>
  <c r="H15"/>
  <c r="K15"/>
  <c r="E16"/>
  <c r="H16"/>
  <c r="K16"/>
  <c r="F17"/>
  <c r="F18" s="1"/>
  <c r="G17"/>
  <c r="G18" s="1"/>
  <c r="I17"/>
  <c r="J17"/>
  <c r="J18" s="1"/>
  <c r="H20"/>
  <c r="K20"/>
  <c r="H22"/>
  <c r="K22"/>
  <c r="K11" i="2" l="1"/>
  <c r="M11" s="1"/>
  <c r="E11"/>
  <c r="G11" s="1"/>
  <c r="K17" i="4"/>
  <c r="H17"/>
  <c r="H18" s="1"/>
  <c r="I18"/>
  <c r="K18" s="1"/>
  <c r="E26" i="3" l="1"/>
  <c r="Q36"/>
  <c r="Q31" l="1"/>
  <c r="Q26"/>
  <c r="K26" l="1"/>
  <c r="G26"/>
  <c r="G41" i="5" l="1"/>
  <c r="O15" i="2" l="1"/>
  <c r="O20"/>
  <c r="I19" i="6"/>
  <c r="G23"/>
  <c r="E13" i="2"/>
  <c r="G13" l="1"/>
  <c r="S30" i="3"/>
  <c r="S26" l="1"/>
  <c r="S12" i="2"/>
  <c r="S11"/>
  <c r="I15" i="6"/>
  <c r="Q23"/>
  <c r="S23"/>
  <c r="O22"/>
  <c r="M23"/>
  <c r="K23"/>
  <c r="E23"/>
  <c r="S29" i="1" l="1"/>
  <c r="S28"/>
  <c r="Q29"/>
  <c r="S12" i="6"/>
  <c r="Q12"/>
  <c r="M29" i="1"/>
  <c r="K29"/>
  <c r="G29"/>
  <c r="E29"/>
  <c r="Q21" i="6"/>
  <c r="O21"/>
  <c r="I21"/>
  <c r="I23" s="1"/>
  <c r="O20"/>
  <c r="I20"/>
  <c r="Q19"/>
  <c r="O19"/>
  <c r="S16"/>
  <c r="S25" s="1"/>
  <c r="Q16"/>
  <c r="Q25" s="1"/>
  <c r="M16"/>
  <c r="M25" s="1"/>
  <c r="K16"/>
  <c r="K28" i="1" s="1"/>
  <c r="G16" i="6"/>
  <c r="E16"/>
  <c r="E28" i="1" s="1"/>
  <c r="O15" i="6"/>
  <c r="O14"/>
  <c r="I14"/>
  <c r="O13"/>
  <c r="I13"/>
  <c r="O12"/>
  <c r="I12"/>
  <c r="E7"/>
  <c r="C4"/>
  <c r="K22" i="2"/>
  <c r="G22"/>
  <c r="G24" s="1"/>
  <c r="S19" i="3"/>
  <c r="S20" i="1" s="1"/>
  <c r="O18" i="3"/>
  <c r="O17"/>
  <c r="O16"/>
  <c r="K19"/>
  <c r="G19"/>
  <c r="G20" i="1" s="1"/>
  <c r="E19" i="3"/>
  <c r="Q22" i="2"/>
  <c r="Q14" i="1" s="1"/>
  <c r="M22" i="2"/>
  <c r="M14" i="1" s="1"/>
  <c r="S13" i="2"/>
  <c r="Q13"/>
  <c r="M13"/>
  <c r="K13"/>
  <c r="I13"/>
  <c r="X30" i="3"/>
  <c r="X29"/>
  <c r="X28"/>
  <c r="X25"/>
  <c r="X24"/>
  <c r="X23"/>
  <c r="X18"/>
  <c r="X17"/>
  <c r="X16"/>
  <c r="X14"/>
  <c r="M31"/>
  <c r="K31"/>
  <c r="K33" s="1"/>
  <c r="O29"/>
  <c r="O30"/>
  <c r="O28"/>
  <c r="O24"/>
  <c r="O25"/>
  <c r="O23"/>
  <c r="E31"/>
  <c r="G31"/>
  <c r="I29"/>
  <c r="I30"/>
  <c r="I28"/>
  <c r="I24"/>
  <c r="I25"/>
  <c r="I23"/>
  <c r="I18"/>
  <c r="I14"/>
  <c r="K11" i="1"/>
  <c r="K12" s="1"/>
  <c r="M11"/>
  <c r="M12" s="1"/>
  <c r="E11"/>
  <c r="E12" s="1"/>
  <c r="E22" i="2"/>
  <c r="E24" s="1"/>
  <c r="G11" i="1"/>
  <c r="G12" s="1"/>
  <c r="E7" i="3"/>
  <c r="S22" i="2"/>
  <c r="S14" i="1" s="1"/>
  <c r="Q11"/>
  <c r="Q12" s="1"/>
  <c r="I15" i="2"/>
  <c r="I16"/>
  <c r="I17"/>
  <c r="I18"/>
  <c r="I19"/>
  <c r="I20"/>
  <c r="I21"/>
  <c r="O16"/>
  <c r="O18"/>
  <c r="O21"/>
  <c r="O19"/>
  <c r="O17"/>
  <c r="U30" i="3"/>
  <c r="U29"/>
  <c r="U28"/>
  <c r="U25"/>
  <c r="U24"/>
  <c r="U23"/>
  <c r="U14"/>
  <c r="U16"/>
  <c r="U17"/>
  <c r="U18"/>
  <c r="O11" i="2"/>
  <c r="O12"/>
  <c r="F34" i="5"/>
  <c r="G36"/>
  <c r="Q52" i="1" s="1"/>
  <c r="K44"/>
  <c r="W37" i="3"/>
  <c r="V24"/>
  <c r="H36" i="5"/>
  <c r="S52" i="1" s="1"/>
  <c r="H47" i="5"/>
  <c r="S53" i="1" s="1"/>
  <c r="H72" i="5"/>
  <c r="S55" i="1" s="1"/>
  <c r="D36" i="5"/>
  <c r="E52" i="1" s="1"/>
  <c r="K52" s="1"/>
  <c r="D47" i="5"/>
  <c r="E53" i="1" s="1"/>
  <c r="K53" s="1"/>
  <c r="E36" i="5"/>
  <c r="G52" i="1" s="1"/>
  <c r="M52" s="1"/>
  <c r="E47" i="5"/>
  <c r="G53" i="1" s="1"/>
  <c r="M53" s="1"/>
  <c r="E59" i="5"/>
  <c r="G54" i="1" s="1"/>
  <c r="M54" s="1"/>
  <c r="E72" i="5"/>
  <c r="G55" i="1" s="1"/>
  <c r="M55" s="1"/>
  <c r="D72" i="5"/>
  <c r="E55" i="1" s="1"/>
  <c r="M43"/>
  <c r="K43"/>
  <c r="F8" i="5"/>
  <c r="F36" s="1"/>
  <c r="F9"/>
  <c r="F10"/>
  <c r="F11"/>
  <c r="F12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5"/>
  <c r="I8"/>
  <c r="I9"/>
  <c r="I10"/>
  <c r="I11"/>
  <c r="I12"/>
  <c r="I13"/>
  <c r="I14"/>
  <c r="I15"/>
  <c r="I16"/>
  <c r="I17"/>
  <c r="I18"/>
  <c r="I19"/>
  <c r="I20"/>
  <c r="I21"/>
  <c r="I22"/>
  <c r="I23"/>
  <c r="I24"/>
  <c r="I25"/>
  <c r="I26"/>
  <c r="I27"/>
  <c r="I28"/>
  <c r="I29"/>
  <c r="I30"/>
  <c r="I31"/>
  <c r="I32"/>
  <c r="I33"/>
  <c r="I35"/>
  <c r="G72"/>
  <c r="Q55" i="1" s="1"/>
  <c r="G59" i="5"/>
  <c r="Q54" i="1" s="1"/>
  <c r="G47" i="5"/>
  <c r="Q53" i="1" s="1"/>
  <c r="D59" i="5"/>
  <c r="E54" i="1" s="1"/>
  <c r="G43"/>
  <c r="E43"/>
  <c r="E7" i="2"/>
  <c r="C4"/>
  <c r="D179" i="5"/>
  <c r="I169"/>
  <c r="I170"/>
  <c r="I171"/>
  <c r="I174"/>
  <c r="I172"/>
  <c r="I173"/>
  <c r="H174"/>
  <c r="G174"/>
  <c r="F169"/>
  <c r="F170"/>
  <c r="F171"/>
  <c r="F174"/>
  <c r="F172"/>
  <c r="F173"/>
  <c r="E174"/>
  <c r="D174"/>
  <c r="H164"/>
  <c r="H122"/>
  <c r="H54"/>
  <c r="H59"/>
  <c r="S54" i="1" s="1"/>
  <c r="H78" i="5"/>
  <c r="H83"/>
  <c r="I83"/>
  <c r="H135"/>
  <c r="H84"/>
  <c r="H149"/>
  <c r="H91"/>
  <c r="I91"/>
  <c r="G164"/>
  <c r="G122"/>
  <c r="G54"/>
  <c r="G78"/>
  <c r="G83"/>
  <c r="G135"/>
  <c r="G84"/>
  <c r="G86"/>
  <c r="G149"/>
  <c r="G91"/>
  <c r="E164"/>
  <c r="E122"/>
  <c r="E54"/>
  <c r="F54"/>
  <c r="E78"/>
  <c r="E83"/>
  <c r="F83"/>
  <c r="E135"/>
  <c r="E84"/>
  <c r="E86"/>
  <c r="E149"/>
  <c r="E91"/>
  <c r="F91"/>
  <c r="D164"/>
  <c r="D122"/>
  <c r="D54"/>
  <c r="D78"/>
  <c r="D83"/>
  <c r="D135"/>
  <c r="D84"/>
  <c r="D86"/>
  <c r="D149"/>
  <c r="D91"/>
  <c r="I156"/>
  <c r="I157"/>
  <c r="I158"/>
  <c r="I159"/>
  <c r="I160"/>
  <c r="I164"/>
  <c r="I161"/>
  <c r="I162"/>
  <c r="I163"/>
  <c r="F156"/>
  <c r="F164"/>
  <c r="F157"/>
  <c r="F158"/>
  <c r="F159"/>
  <c r="F160"/>
  <c r="F161"/>
  <c r="F162"/>
  <c r="F163"/>
  <c r="I138"/>
  <c r="I149"/>
  <c r="I139"/>
  <c r="I140"/>
  <c r="I141"/>
  <c r="I142"/>
  <c r="I143"/>
  <c r="I144"/>
  <c r="I145"/>
  <c r="I146"/>
  <c r="I147"/>
  <c r="I148"/>
  <c r="F138"/>
  <c r="F149"/>
  <c r="F139"/>
  <c r="F140"/>
  <c r="F141"/>
  <c r="F142"/>
  <c r="F143"/>
  <c r="F144"/>
  <c r="F145"/>
  <c r="F146"/>
  <c r="F147"/>
  <c r="F148"/>
  <c r="I125"/>
  <c r="I135"/>
  <c r="I126"/>
  <c r="I127"/>
  <c r="I128"/>
  <c r="I129"/>
  <c r="I130"/>
  <c r="I131"/>
  <c r="I132"/>
  <c r="I133"/>
  <c r="I134"/>
  <c r="F125"/>
  <c r="F135"/>
  <c r="F126"/>
  <c r="F127"/>
  <c r="F128"/>
  <c r="F129"/>
  <c r="F130"/>
  <c r="F131"/>
  <c r="F132"/>
  <c r="F133"/>
  <c r="F134"/>
  <c r="I112"/>
  <c r="I113"/>
  <c r="I114"/>
  <c r="I115"/>
  <c r="I116"/>
  <c r="I122"/>
  <c r="I117"/>
  <c r="I118"/>
  <c r="I119"/>
  <c r="I120"/>
  <c r="I121"/>
  <c r="F112"/>
  <c r="F122"/>
  <c r="F113"/>
  <c r="F114"/>
  <c r="F115"/>
  <c r="F116"/>
  <c r="F117"/>
  <c r="F118"/>
  <c r="F119"/>
  <c r="F120"/>
  <c r="F121"/>
  <c r="H102"/>
  <c r="G102"/>
  <c r="E102"/>
  <c r="D102"/>
  <c r="I96"/>
  <c r="I101"/>
  <c r="I97"/>
  <c r="I98"/>
  <c r="I99"/>
  <c r="I100"/>
  <c r="F96"/>
  <c r="F102" s="1"/>
  <c r="F97"/>
  <c r="F101"/>
  <c r="F98"/>
  <c r="F99"/>
  <c r="F100"/>
  <c r="I64"/>
  <c r="I72" s="1"/>
  <c r="I71"/>
  <c r="I65"/>
  <c r="I66"/>
  <c r="I67"/>
  <c r="I68"/>
  <c r="I69"/>
  <c r="I70"/>
  <c r="I75"/>
  <c r="I78"/>
  <c r="I77"/>
  <c r="I85"/>
  <c r="F64"/>
  <c r="F65"/>
  <c r="F66"/>
  <c r="F71"/>
  <c r="F67"/>
  <c r="F68"/>
  <c r="F69"/>
  <c r="F70"/>
  <c r="F75"/>
  <c r="F78"/>
  <c r="F77"/>
  <c r="F85"/>
  <c r="I58"/>
  <c r="F58"/>
  <c r="I57"/>
  <c r="F57"/>
  <c r="I53"/>
  <c r="F53"/>
  <c r="I52"/>
  <c r="F52"/>
  <c r="I51"/>
  <c r="F51"/>
  <c r="I50"/>
  <c r="F50"/>
  <c r="I46"/>
  <c r="F46"/>
  <c r="I45"/>
  <c r="F45"/>
  <c r="I44"/>
  <c r="F44"/>
  <c r="I43"/>
  <c r="F43"/>
  <c r="I42"/>
  <c r="F42"/>
  <c r="I41"/>
  <c r="F41"/>
  <c r="I40"/>
  <c r="F40"/>
  <c r="C4" i="3"/>
  <c r="S11" i="1"/>
  <c r="S12" s="1"/>
  <c r="F59" i="5"/>
  <c r="U39" i="3"/>
  <c r="H86" i="5"/>
  <c r="I54"/>
  <c r="S31" i="3"/>
  <c r="S33" s="1"/>
  <c r="E44" i="1"/>
  <c r="I84" i="5"/>
  <c r="I86"/>
  <c r="F84"/>
  <c r="F86"/>
  <c r="G44" i="1"/>
  <c r="I17" i="3"/>
  <c r="I16"/>
  <c r="V39"/>
  <c r="W38"/>
  <c r="U37"/>
  <c r="U38" s="1"/>
  <c r="V37"/>
  <c r="V38"/>
  <c r="K24" i="2" l="1"/>
  <c r="M24"/>
  <c r="I59" i="5"/>
  <c r="H61"/>
  <c r="H80" s="1"/>
  <c r="H88" s="1"/>
  <c r="H93" s="1"/>
  <c r="H166" s="1"/>
  <c r="G61"/>
  <c r="G80" s="1"/>
  <c r="G88" s="1"/>
  <c r="G93" s="1"/>
  <c r="I47"/>
  <c r="I36"/>
  <c r="E33" i="3"/>
  <c r="E36" s="1"/>
  <c r="U26"/>
  <c r="E14" i="1"/>
  <c r="E16" s="1"/>
  <c r="K20"/>
  <c r="G14"/>
  <c r="G16" s="1"/>
  <c r="O16" i="6"/>
  <c r="M33" i="3"/>
  <c r="M21" i="1" s="1"/>
  <c r="E20"/>
  <c r="O31" i="3"/>
  <c r="O13" i="2"/>
  <c r="M44" i="1"/>
  <c r="O44" s="1"/>
  <c r="E31"/>
  <c r="I102" i="5"/>
  <c r="F72"/>
  <c r="K54" i="1"/>
  <c r="O54" s="1"/>
  <c r="I54"/>
  <c r="E61" i="5"/>
  <c r="E80" s="1"/>
  <c r="E88" s="1"/>
  <c r="E93" s="1"/>
  <c r="E104" s="1"/>
  <c r="G56" i="1"/>
  <c r="D61" i="5"/>
  <c r="D80" s="1"/>
  <c r="D88" s="1"/>
  <c r="D93" s="1"/>
  <c r="D166" s="1"/>
  <c r="F47"/>
  <c r="K14" i="1"/>
  <c r="O14" s="1"/>
  <c r="O22" i="2"/>
  <c r="I22"/>
  <c r="I24" s="1"/>
  <c r="I26" i="3"/>
  <c r="I31"/>
  <c r="U31"/>
  <c r="U33" s="1"/>
  <c r="X31"/>
  <c r="X26"/>
  <c r="O26"/>
  <c r="Q19"/>
  <c r="G33"/>
  <c r="G36" s="1"/>
  <c r="Q28" i="1"/>
  <c r="Q31" s="1"/>
  <c r="M28"/>
  <c r="M31" s="1"/>
  <c r="O29"/>
  <c r="K25" i="6"/>
  <c r="I29" i="1"/>
  <c r="G25" i="6"/>
  <c r="E25"/>
  <c r="G28" i="1"/>
  <c r="G31" s="1"/>
  <c r="I52"/>
  <c r="G45"/>
  <c r="I44"/>
  <c r="K45"/>
  <c r="I55"/>
  <c r="I53"/>
  <c r="E45"/>
  <c r="S36" i="3"/>
  <c r="S21" i="1"/>
  <c r="S22" s="1"/>
  <c r="K21"/>
  <c r="O15" i="3"/>
  <c r="U15"/>
  <c r="U19" s="1"/>
  <c r="O14"/>
  <c r="X15"/>
  <c r="X19" s="1"/>
  <c r="I15"/>
  <c r="I19" s="1"/>
  <c r="M19"/>
  <c r="M16" i="1"/>
  <c r="I11"/>
  <c r="I12" s="1"/>
  <c r="Q24" i="2"/>
  <c r="S24"/>
  <c r="Q16" i="1"/>
  <c r="S16"/>
  <c r="S34" s="1"/>
  <c r="O11"/>
  <c r="O12" s="1"/>
  <c r="I16" i="6"/>
  <c r="O23"/>
  <c r="M56" i="1"/>
  <c r="O53"/>
  <c r="Q56"/>
  <c r="E56"/>
  <c r="S56"/>
  <c r="O43"/>
  <c r="K31"/>
  <c r="S31"/>
  <c r="O52"/>
  <c r="I43"/>
  <c r="K55"/>
  <c r="O55" s="1"/>
  <c r="K22" l="1"/>
  <c r="M20"/>
  <c r="K35"/>
  <c r="E34"/>
  <c r="I61" i="5"/>
  <c r="I80"/>
  <c r="I88" s="1"/>
  <c r="I93" s="1"/>
  <c r="K16" i="1"/>
  <c r="I20"/>
  <c r="I14"/>
  <c r="I16" s="1"/>
  <c r="O25" i="6"/>
  <c r="O19" i="3"/>
  <c r="O28" i="1"/>
  <c r="O31" s="1"/>
  <c r="O24" i="2"/>
  <c r="E21" i="1"/>
  <c r="E22" s="1"/>
  <c r="M45"/>
  <c r="M34"/>
  <c r="O33" i="3"/>
  <c r="Q20" i="1"/>
  <c r="I33" i="3"/>
  <c r="I36" s="1"/>
  <c r="I25" i="6"/>
  <c r="E166" i="5"/>
  <c r="F166" s="1"/>
  <c r="F61"/>
  <c r="F80" s="1"/>
  <c r="F88" s="1"/>
  <c r="F93" s="1"/>
  <c r="I56" i="1"/>
  <c r="Q34"/>
  <c r="S35"/>
  <c r="S37" s="1"/>
  <c r="G21"/>
  <c r="U36" i="3"/>
  <c r="Q33"/>
  <c r="Q21" i="1" s="1"/>
  <c r="X33" i="3"/>
  <c r="X36" s="1"/>
  <c r="I28" i="1"/>
  <c r="I31" s="1"/>
  <c r="G34"/>
  <c r="H104" i="5"/>
  <c r="G166"/>
  <c r="I166" s="1"/>
  <c r="G104"/>
  <c r="D104"/>
  <c r="F104" s="1"/>
  <c r="O45" i="1"/>
  <c r="I45"/>
  <c r="O21"/>
  <c r="O56"/>
  <c r="K56"/>
  <c r="O16" l="1"/>
  <c r="K25"/>
  <c r="M22"/>
  <c r="M25" s="1"/>
  <c r="M37" s="1"/>
  <c r="O20"/>
  <c r="O22" s="1"/>
  <c r="K37"/>
  <c r="Q22"/>
  <c r="E25"/>
  <c r="I34"/>
  <c r="X41" i="3"/>
  <c r="Q25" i="1"/>
  <c r="O36" i="3"/>
  <c r="K34" i="1"/>
  <c r="O34" s="1"/>
  <c r="E35"/>
  <c r="I21"/>
  <c r="I22" s="1"/>
  <c r="I25" s="1"/>
  <c r="S25"/>
  <c r="G22"/>
  <c r="G25" s="1"/>
  <c r="G37" s="1"/>
  <c r="I104" i="5"/>
  <c r="M35" i="1" l="1"/>
  <c r="O35" s="1"/>
  <c r="O37" s="1"/>
  <c r="O25"/>
  <c r="G35"/>
  <c r="I35" s="1"/>
  <c r="I37" s="1"/>
  <c r="E37"/>
  <c r="Q35"/>
  <c r="Q37" s="1"/>
</calcChain>
</file>

<file path=xl/comments1.xml><?xml version="1.0" encoding="utf-8"?>
<comments xmlns="http://schemas.openxmlformats.org/spreadsheetml/2006/main">
  <authors>
    <author>NETWORK SERVICE</author>
    <author>User</author>
  </authors>
  <commentList>
    <comment ref="F7" authorId="0">
      <text>
        <r>
          <rPr>
            <sz val="9"/>
            <color indexed="81"/>
            <rFont val="Tahoma"/>
            <family val="2"/>
          </rPr>
          <t>Please enter the level of recurring savings included in the year to date LDP trajectory - note that this figure must be between 0 and the figure in cell J8</t>
        </r>
      </text>
    </comment>
    <comment ref="G7" authorId="0">
      <text>
        <r>
          <rPr>
            <sz val="9"/>
            <color indexed="81"/>
            <rFont val="Tahoma"/>
            <family val="2"/>
          </rPr>
          <t>This cell is calculated automatically</t>
        </r>
      </text>
    </comment>
    <comment ref="H7" authorId="1">
      <text>
        <r>
          <rPr>
            <sz val="9"/>
            <color indexed="81"/>
            <rFont val="Tahoma"/>
            <family val="2"/>
          </rPr>
          <t>The LDP trajectory has been used to automatically fill this cell</t>
        </r>
      </text>
    </comment>
    <comment ref="C10" authorId="1">
      <text>
        <r>
          <rPr>
            <sz val="8"/>
            <color indexed="81"/>
            <rFont val="Tahoma"/>
            <family val="2"/>
          </rPr>
          <t>Note that all schemes will be categorised as low risk for March and Month 13 submissions</t>
        </r>
      </text>
    </comment>
    <comment ref="D10" authorId="1">
      <text>
        <r>
          <rPr>
            <sz val="8"/>
            <color indexed="81"/>
            <rFont val="Tahoma"/>
            <family val="2"/>
          </rPr>
          <t>Note that all schemes will be categorised as low risk for March and Month 13 submissions</t>
        </r>
      </text>
    </comment>
    <comment ref="E10" authorId="1">
      <text>
        <r>
          <rPr>
            <sz val="8"/>
            <color indexed="81"/>
            <rFont val="Tahoma"/>
            <family val="2"/>
          </rPr>
          <t>This cell is calculated automatically</t>
        </r>
      </text>
    </comment>
    <comment ref="F10" authorId="1">
      <text>
        <r>
          <rPr>
            <sz val="8"/>
            <color indexed="81"/>
            <rFont val="Tahoma"/>
            <family val="2"/>
          </rPr>
          <t>Note that this value cannot be negative</t>
        </r>
      </text>
    </comment>
    <comment ref="G10" authorId="1">
      <text>
        <r>
          <rPr>
            <sz val="8"/>
            <color indexed="81"/>
            <rFont val="Tahoma"/>
            <family val="2"/>
          </rPr>
          <t>Note that this value cannot be negative</t>
        </r>
      </text>
    </comment>
    <comment ref="I10" authorId="1">
      <text>
        <r>
          <rPr>
            <sz val="8"/>
            <color indexed="81"/>
            <rFont val="Tahoma"/>
            <family val="2"/>
          </rPr>
          <t>Note that this value cannot be negative</t>
        </r>
      </text>
    </comment>
    <comment ref="J10" authorId="1">
      <text>
        <r>
          <rPr>
            <sz val="8"/>
            <color indexed="81"/>
            <rFont val="Tahoma"/>
            <family val="2"/>
          </rPr>
          <t>Note that this value cannot be negative</t>
        </r>
      </text>
    </comment>
    <comment ref="C11" authorId="1">
      <text>
        <r>
          <rPr>
            <sz val="8"/>
            <color indexed="81"/>
            <rFont val="Tahoma"/>
            <family val="2"/>
          </rPr>
          <t>Note that all schemes will be categorised as low risk for March and Month 13 submissions</t>
        </r>
      </text>
    </comment>
    <comment ref="D11" authorId="1">
      <text>
        <r>
          <rPr>
            <sz val="8"/>
            <color indexed="81"/>
            <rFont val="Tahoma"/>
            <family val="2"/>
          </rPr>
          <t>Note that all schemes will be categorised as low risk for March and Month 13 submissions</t>
        </r>
      </text>
    </comment>
    <comment ref="E11" authorId="1">
      <text>
        <r>
          <rPr>
            <sz val="8"/>
            <color indexed="81"/>
            <rFont val="Tahoma"/>
            <family val="2"/>
          </rPr>
          <t>This cell is calculated automatically</t>
        </r>
      </text>
    </comment>
    <comment ref="F11" authorId="1">
      <text>
        <r>
          <rPr>
            <sz val="8"/>
            <color indexed="81"/>
            <rFont val="Tahoma"/>
            <family val="2"/>
          </rPr>
          <t>Note that this value cannot be negative</t>
        </r>
      </text>
    </comment>
    <comment ref="G11" authorId="1">
      <text>
        <r>
          <rPr>
            <sz val="8"/>
            <color indexed="81"/>
            <rFont val="Tahoma"/>
            <family val="2"/>
          </rPr>
          <t>Note that this value cannot be negative</t>
        </r>
      </text>
    </comment>
    <comment ref="I11" authorId="1">
      <text>
        <r>
          <rPr>
            <sz val="8"/>
            <color indexed="81"/>
            <rFont val="Tahoma"/>
            <family val="2"/>
          </rPr>
          <t>Note that this value cannot be negative</t>
        </r>
      </text>
    </comment>
    <comment ref="J11" authorId="1">
      <text>
        <r>
          <rPr>
            <sz val="8"/>
            <color indexed="81"/>
            <rFont val="Tahoma"/>
            <family val="2"/>
          </rPr>
          <t>Note that this value cannot be negative</t>
        </r>
      </text>
    </comment>
    <comment ref="C12" authorId="1">
      <text>
        <r>
          <rPr>
            <sz val="8"/>
            <color indexed="81"/>
            <rFont val="Tahoma"/>
            <family val="2"/>
          </rPr>
          <t>Note that all schemes will be categorised as low risk for March and Month 13 submissions</t>
        </r>
      </text>
    </comment>
    <comment ref="D12" authorId="1">
      <text>
        <r>
          <rPr>
            <sz val="8"/>
            <color indexed="81"/>
            <rFont val="Tahoma"/>
            <family val="2"/>
          </rPr>
          <t>Note that all schemes will be categorised as low risk for March and Month 13 submissions</t>
        </r>
      </text>
    </comment>
    <comment ref="E12" authorId="1">
      <text>
        <r>
          <rPr>
            <sz val="8"/>
            <color indexed="81"/>
            <rFont val="Tahoma"/>
            <family val="2"/>
          </rPr>
          <t>This cell is calculated automatically</t>
        </r>
      </text>
    </comment>
    <comment ref="F12" authorId="1">
      <text>
        <r>
          <rPr>
            <sz val="8"/>
            <color indexed="81"/>
            <rFont val="Tahoma"/>
            <family val="2"/>
          </rPr>
          <t>Note that this value cannot be negative</t>
        </r>
      </text>
    </comment>
    <comment ref="G12" authorId="1">
      <text>
        <r>
          <rPr>
            <sz val="8"/>
            <color indexed="81"/>
            <rFont val="Tahoma"/>
            <family val="2"/>
          </rPr>
          <t>Note that this value cannot be negative</t>
        </r>
      </text>
    </comment>
    <comment ref="I12" authorId="1">
      <text>
        <r>
          <rPr>
            <sz val="8"/>
            <color indexed="81"/>
            <rFont val="Tahoma"/>
            <family val="2"/>
          </rPr>
          <t>Note that this value cannot be negative</t>
        </r>
      </text>
    </comment>
    <comment ref="J12" authorId="1">
      <text>
        <r>
          <rPr>
            <sz val="8"/>
            <color indexed="81"/>
            <rFont val="Tahoma"/>
            <family val="2"/>
          </rPr>
          <t>Note that this value cannot be negative</t>
        </r>
      </text>
    </comment>
    <comment ref="C13" authorId="1">
      <text>
        <r>
          <rPr>
            <sz val="8"/>
            <color indexed="81"/>
            <rFont val="Tahoma"/>
            <family val="2"/>
          </rPr>
          <t>Note that all schemes will be categorised as low risk for March and Month 13 submissions</t>
        </r>
      </text>
    </comment>
    <comment ref="D13" authorId="1">
      <text>
        <r>
          <rPr>
            <sz val="8"/>
            <color indexed="81"/>
            <rFont val="Tahoma"/>
            <family val="2"/>
          </rPr>
          <t>Note that all schemes will be categorised as low risk for March and Month 13 submissions</t>
        </r>
      </text>
    </comment>
    <comment ref="E13" authorId="1">
      <text>
        <r>
          <rPr>
            <sz val="8"/>
            <color indexed="81"/>
            <rFont val="Tahoma"/>
            <family val="2"/>
          </rPr>
          <t>This cell is calculated automatically</t>
        </r>
      </text>
    </comment>
    <comment ref="F13" authorId="1">
      <text>
        <r>
          <rPr>
            <sz val="8"/>
            <color indexed="81"/>
            <rFont val="Tahoma"/>
            <family val="2"/>
          </rPr>
          <t>Note that this value cannot be negative</t>
        </r>
      </text>
    </comment>
    <comment ref="G13" authorId="1">
      <text>
        <r>
          <rPr>
            <sz val="8"/>
            <color indexed="81"/>
            <rFont val="Tahoma"/>
            <family val="2"/>
          </rPr>
          <t>Note that this value cannot be negative</t>
        </r>
      </text>
    </comment>
    <comment ref="I13" authorId="1">
      <text>
        <r>
          <rPr>
            <sz val="8"/>
            <color indexed="81"/>
            <rFont val="Tahoma"/>
            <family val="2"/>
          </rPr>
          <t>Note that this value cannot be negative</t>
        </r>
      </text>
    </comment>
    <comment ref="J13" authorId="1">
      <text>
        <r>
          <rPr>
            <sz val="8"/>
            <color indexed="81"/>
            <rFont val="Tahoma"/>
            <family val="2"/>
          </rPr>
          <t>Note that this value cannot be negative</t>
        </r>
      </text>
    </comment>
    <comment ref="C15" authorId="1">
      <text>
        <r>
          <rPr>
            <sz val="8"/>
            <color indexed="81"/>
            <rFont val="Tahoma"/>
            <family val="2"/>
          </rPr>
          <t>Note that all schemes will be categorised as low risk for March and Month 13 submissions</t>
        </r>
      </text>
    </comment>
    <comment ref="D15" authorId="1">
      <text>
        <r>
          <rPr>
            <sz val="8"/>
            <color indexed="81"/>
            <rFont val="Tahoma"/>
            <family val="2"/>
          </rPr>
          <t>Note that all schemes will be categorised as low risk for March and Month 13 submissions</t>
        </r>
      </text>
    </comment>
    <comment ref="E15" authorId="1">
      <text>
        <r>
          <rPr>
            <sz val="8"/>
            <color indexed="81"/>
            <rFont val="Tahoma"/>
            <family val="2"/>
          </rPr>
          <t>This cell is calculated automatically</t>
        </r>
      </text>
    </comment>
    <comment ref="F15" authorId="1">
      <text>
        <r>
          <rPr>
            <sz val="8"/>
            <color indexed="81"/>
            <rFont val="Tahoma"/>
            <family val="2"/>
          </rPr>
          <t>Note that this value cannot be negative</t>
        </r>
      </text>
    </comment>
    <comment ref="G15" authorId="1">
      <text>
        <r>
          <rPr>
            <sz val="8"/>
            <color indexed="81"/>
            <rFont val="Tahoma"/>
            <family val="2"/>
          </rPr>
          <t>Note that this value cannot be negative</t>
        </r>
      </text>
    </comment>
    <comment ref="I15" authorId="1">
      <text>
        <r>
          <rPr>
            <sz val="8"/>
            <color indexed="81"/>
            <rFont val="Tahoma"/>
            <family val="2"/>
          </rPr>
          <t>Note that this value cannot be negative</t>
        </r>
      </text>
    </comment>
    <comment ref="J15" authorId="1">
      <text>
        <r>
          <rPr>
            <sz val="8"/>
            <color indexed="81"/>
            <rFont val="Tahoma"/>
            <family val="2"/>
          </rPr>
          <t>Note that this value cannot be negative</t>
        </r>
      </text>
    </comment>
    <comment ref="C16" authorId="1">
      <text>
        <r>
          <rPr>
            <sz val="8"/>
            <color indexed="81"/>
            <rFont val="Tahoma"/>
            <family val="2"/>
          </rPr>
          <t>Note that all schemes will be categorised as low risk for March and Month 13 submissions</t>
        </r>
      </text>
    </comment>
    <comment ref="D16" authorId="1">
      <text>
        <r>
          <rPr>
            <sz val="8"/>
            <color indexed="81"/>
            <rFont val="Tahoma"/>
            <family val="2"/>
          </rPr>
          <t>Note that all schemes will be categorised as low risk for March and Month 13 submissions</t>
        </r>
      </text>
    </comment>
    <comment ref="E16" authorId="1">
      <text>
        <r>
          <rPr>
            <sz val="8"/>
            <color indexed="81"/>
            <rFont val="Tahoma"/>
            <family val="2"/>
          </rPr>
          <t>This cell is calculated automatically</t>
        </r>
      </text>
    </comment>
    <comment ref="F16" authorId="1">
      <text>
        <r>
          <rPr>
            <sz val="8"/>
            <color indexed="81"/>
            <rFont val="Tahoma"/>
            <family val="2"/>
          </rPr>
          <t>Note that this value cannot be negative</t>
        </r>
      </text>
    </comment>
    <comment ref="G16" authorId="1">
      <text>
        <r>
          <rPr>
            <sz val="8"/>
            <color indexed="81"/>
            <rFont val="Tahoma"/>
            <family val="2"/>
          </rPr>
          <t>Note that this value cannot be negative</t>
        </r>
      </text>
    </comment>
    <comment ref="I16" authorId="1">
      <text>
        <r>
          <rPr>
            <sz val="8"/>
            <color indexed="81"/>
            <rFont val="Tahoma"/>
            <family val="2"/>
          </rPr>
          <t>Note that this value cannot be negative</t>
        </r>
      </text>
    </comment>
    <comment ref="J16" authorId="1">
      <text>
        <r>
          <rPr>
            <sz val="8"/>
            <color indexed="81"/>
            <rFont val="Tahoma"/>
            <family val="2"/>
          </rPr>
          <t>Note that this value cannot be negative</t>
        </r>
      </text>
    </comment>
  </commentList>
</comments>
</file>

<file path=xl/comments2.xml><?xml version="1.0" encoding="utf-8"?>
<comments xmlns="http://schemas.openxmlformats.org/spreadsheetml/2006/main">
  <authors>
    <author>User</author>
  </authors>
  <commentList>
    <comment ref="C8" authorId="0">
      <text>
        <r>
          <rPr>
            <sz val="8"/>
            <color indexed="81"/>
            <rFont val="Tahoma"/>
            <family val="2"/>
          </rPr>
          <t>Note that this section details expenditure on property  previ</t>
        </r>
        <r>
          <rPr>
            <sz val="8"/>
            <color indexed="81"/>
            <rFont val="Tahoma"/>
            <family val="2"/>
          </rPr>
          <t>ously described as rolling programmes</t>
        </r>
      </text>
    </comment>
    <comment ref="C13" authorId="0">
      <text>
        <r>
          <rPr>
            <sz val="8"/>
            <color indexed="81"/>
            <rFont val="Tahoma"/>
            <family val="2"/>
          </rPr>
          <t>Insert discrete projects below not covered by the categories above</t>
        </r>
      </text>
    </comment>
    <comment ref="C65" authorId="0">
      <text>
        <r>
          <rPr>
            <sz val="8"/>
            <color indexed="81"/>
            <rFont val="Tahoma"/>
            <family val="2"/>
          </rPr>
          <t>Insert discrete projects below not covered by the category above</t>
        </r>
      </text>
    </comment>
    <comment ref="D85" authorId="0">
      <text>
        <r>
          <rPr>
            <sz val="8"/>
            <color indexed="81"/>
            <rFont val="Tahoma"/>
            <family val="2"/>
          </rPr>
          <t>Please enter as a negative value</t>
        </r>
      </text>
    </comment>
    <comment ref="E85" authorId="0">
      <text>
        <r>
          <rPr>
            <sz val="8"/>
            <color indexed="81"/>
            <rFont val="Tahoma"/>
            <family val="2"/>
          </rPr>
          <t>Please enter as a negative value</t>
        </r>
      </text>
    </comment>
    <comment ref="G85" authorId="0">
      <text>
        <r>
          <rPr>
            <sz val="8"/>
            <color indexed="81"/>
            <rFont val="Tahoma"/>
            <family val="2"/>
          </rPr>
          <t>Please enter as a negative value</t>
        </r>
      </text>
    </comment>
    <comment ref="H85" authorId="0">
      <text>
        <r>
          <rPr>
            <sz val="8"/>
            <color indexed="81"/>
            <rFont val="Tahoma"/>
            <family val="2"/>
          </rPr>
          <t>Please enter as a negative value</t>
        </r>
      </text>
    </comment>
    <comment ref="C111" authorId="0">
      <text>
        <r>
          <rPr>
            <sz val="8"/>
            <color indexed="81"/>
            <rFont val="Tahoma"/>
            <family val="2"/>
          </rPr>
          <t>Note that this section details expenditure on property  previ</t>
        </r>
        <r>
          <rPr>
            <sz val="8"/>
            <color indexed="81"/>
            <rFont val="Tahoma"/>
            <family val="2"/>
          </rPr>
          <t>ously described as rolling programmes</t>
        </r>
      </text>
    </comment>
  </commentList>
</comments>
</file>

<file path=xl/sharedStrings.xml><?xml version="1.0" encoding="utf-8"?>
<sst xmlns="http://schemas.openxmlformats.org/spreadsheetml/2006/main" count="330" uniqueCount="205">
  <si>
    <t>Income</t>
  </si>
  <si>
    <t>Year to Date</t>
  </si>
  <si>
    <t>Year end</t>
  </si>
  <si>
    <t xml:space="preserve">Annual </t>
  </si>
  <si>
    <t>Budget</t>
  </si>
  <si>
    <t xml:space="preserve">Actual </t>
  </si>
  <si>
    <t>Variance</t>
  </si>
  <si>
    <t>Forecast</t>
  </si>
  <si>
    <t>£ 000</t>
  </si>
  <si>
    <t>Core - RRL ( SLA )</t>
  </si>
  <si>
    <t>Non - RRL SLA</t>
  </si>
  <si>
    <t>Other</t>
  </si>
  <si>
    <t>Total Income</t>
  </si>
  <si>
    <t>Staff</t>
  </si>
  <si>
    <t>Medical</t>
  </si>
  <si>
    <t>Nursing</t>
  </si>
  <si>
    <t>Clinical Support</t>
  </si>
  <si>
    <t>Non-clinical Support</t>
  </si>
  <si>
    <t>Admin</t>
  </si>
  <si>
    <t>Total Staff</t>
  </si>
  <si>
    <t>Supplies</t>
  </si>
  <si>
    <t>Total Expenditure</t>
  </si>
  <si>
    <t>Depreciation</t>
  </si>
  <si>
    <t>Impairment</t>
  </si>
  <si>
    <t>Provisions (AME)</t>
  </si>
  <si>
    <t>Core - RRL</t>
  </si>
  <si>
    <t>RRL</t>
  </si>
  <si>
    <t xml:space="preserve">Core Expenditure </t>
  </si>
  <si>
    <t>Total Core Expenditure</t>
  </si>
  <si>
    <t>Total Non-Core Expenditure</t>
  </si>
  <si>
    <t>Income &amp; Expenditure summary</t>
  </si>
  <si>
    <t>Efficiency Savings Summary</t>
  </si>
  <si>
    <t>Efficiency Savings</t>
  </si>
  <si>
    <t>Rec    £000s</t>
  </si>
  <si>
    <t>Non-Rec     £000s</t>
  </si>
  <si>
    <t>Total     £000s</t>
  </si>
  <si>
    <t>Total efficient government local savings target per agreed LDP</t>
  </si>
  <si>
    <t>Risk rating</t>
  </si>
  <si>
    <t>Identified efficient government local savings schemes:</t>
  </si>
  <si>
    <t>H (%)</t>
  </si>
  <si>
    <t>M (%)</t>
  </si>
  <si>
    <t>L (%)</t>
  </si>
  <si>
    <t>Workforce</t>
  </si>
  <si>
    <t>Drugs and Prescribing</t>
  </si>
  <si>
    <t>Procurement</t>
  </si>
  <si>
    <t>Estates and Facilities</t>
  </si>
  <si>
    <t>Total In-Year Savings</t>
  </si>
  <si>
    <r>
      <t xml:space="preserve">Balance </t>
    </r>
    <r>
      <rPr>
        <b/>
        <sz val="11"/>
        <color indexed="10"/>
        <rFont val="Arial"/>
        <family val="2"/>
      </rPr>
      <t xml:space="preserve">(outstanding) </t>
    </r>
    <r>
      <rPr>
        <b/>
        <sz val="11"/>
        <rFont val="Arial"/>
        <family val="2"/>
      </rPr>
      <t>/ overachieved</t>
    </r>
  </si>
  <si>
    <t>Target Savings</t>
  </si>
  <si>
    <t>Actual Savings</t>
  </si>
  <si>
    <t>Capital Expenditure</t>
  </si>
  <si>
    <t>Capital Expenditure Summary</t>
  </si>
  <si>
    <t>Property Expenditure</t>
  </si>
  <si>
    <t>Medical Equipment Expenditure</t>
  </si>
  <si>
    <t>IM&amp;T Expenditure</t>
  </si>
  <si>
    <t>Total capital Expenditure</t>
  </si>
  <si>
    <t>Line No</t>
  </si>
  <si>
    <t>Actual    £000s</t>
  </si>
  <si>
    <t>Budget    £000s</t>
  </si>
  <si>
    <t>Variance     £00s</t>
  </si>
  <si>
    <t>Forecast Outturn   £000s</t>
  </si>
  <si>
    <t>Annual Budget    £000s</t>
  </si>
  <si>
    <t>Variance    £000s</t>
  </si>
  <si>
    <t>Total Property</t>
  </si>
  <si>
    <t>Equipment</t>
  </si>
  <si>
    <t>Medical Equipment</t>
  </si>
  <si>
    <t>Equipping costs of revenue financed projects</t>
  </si>
  <si>
    <r>
      <t xml:space="preserve">Imaging </t>
    </r>
    <r>
      <rPr>
        <sz val="10"/>
        <rFont val="Arial"/>
        <family val="2"/>
      </rPr>
      <t>(CT / Ultrasound / MRI / Gamma Cameras)</t>
    </r>
  </si>
  <si>
    <t>Radiotherapy</t>
  </si>
  <si>
    <t>PET Replacement Programme</t>
  </si>
  <si>
    <t>Sub-total - Medical Equipment</t>
  </si>
  <si>
    <t>Vehicles</t>
  </si>
  <si>
    <t>Emergency vehicles</t>
  </si>
  <si>
    <t>Patient Transport Service (PTS)</t>
  </si>
  <si>
    <t>Support services vehicles</t>
  </si>
  <si>
    <t>Other vehicles</t>
  </si>
  <si>
    <t>Sub-total - Vehicles</t>
  </si>
  <si>
    <t>Other Equipment</t>
  </si>
  <si>
    <t xml:space="preserve">Other </t>
  </si>
  <si>
    <t>Sub-total - Other Equipment</t>
  </si>
  <si>
    <t>Total Equipment</t>
  </si>
  <si>
    <r>
      <t xml:space="preserve">IM&amp;T Projects </t>
    </r>
    <r>
      <rPr>
        <sz val="11"/>
        <rFont val="Arial"/>
        <family val="2"/>
      </rPr>
      <t>(list below)</t>
    </r>
  </si>
  <si>
    <t>Total IM&amp;T</t>
  </si>
  <si>
    <t>Other Capital Expenditure</t>
  </si>
  <si>
    <t>Total Other Expenditure</t>
  </si>
  <si>
    <t>Total Capital Grants &lt; £50k</t>
  </si>
  <si>
    <r>
      <t>Significant projects</t>
    </r>
    <r>
      <rPr>
        <sz val="11"/>
        <rFont val="Arial"/>
        <family val="2"/>
      </rPr>
      <t xml:space="preserve"> (list individual projects &gt; £500k)</t>
    </r>
  </si>
  <si>
    <t>Total projects &lt; £500k</t>
  </si>
  <si>
    <t xml:space="preserve">Total Statutory Compliance and Backlog Maintenance Property Expenditure  </t>
  </si>
  <si>
    <t>Page 5</t>
  </si>
  <si>
    <t xml:space="preserve">Core - RRL </t>
  </si>
  <si>
    <t>Heart &amp; Lung - Cardiac</t>
  </si>
  <si>
    <t>Heart &amp; Lung - Thoracic</t>
  </si>
  <si>
    <t>Heart &amp; Lung - Cardiology</t>
  </si>
  <si>
    <t>Heart &amp; Lung - SPVU</t>
  </si>
  <si>
    <t>Total Funding</t>
  </si>
  <si>
    <t>Page 2 - Income Detail</t>
  </si>
  <si>
    <t>Core Expenditure</t>
  </si>
  <si>
    <t>Non-Core Expenditure</t>
  </si>
  <si>
    <t>Page 4 - Efficiency Savings</t>
  </si>
  <si>
    <t>Over/Under</t>
  </si>
  <si>
    <t>Page 3 - Expenditure Detail</t>
  </si>
  <si>
    <t>Appendix 1</t>
  </si>
  <si>
    <t>Summary Financial Position (page 1)</t>
  </si>
  <si>
    <t>Beardmore Hotel</t>
  </si>
  <si>
    <t>Clinical</t>
  </si>
  <si>
    <t>Total Clinical supplies</t>
  </si>
  <si>
    <t>Pharmacy (drugs and dressings)</t>
  </si>
  <si>
    <t xml:space="preserve">Surgical </t>
  </si>
  <si>
    <t>Labs/Radiology</t>
  </si>
  <si>
    <t>Non - Clinical</t>
  </si>
  <si>
    <t>Property, Plant and Equipment</t>
  </si>
  <si>
    <t>Facilities</t>
  </si>
  <si>
    <t>Other inc reserves</t>
  </si>
  <si>
    <t>Total Non-clinical</t>
  </si>
  <si>
    <t>Total Core Supplies</t>
  </si>
  <si>
    <t>2012-13 Year end Position</t>
  </si>
  <si>
    <t>Property</t>
  </si>
  <si>
    <r>
      <t xml:space="preserve">Other X ray </t>
    </r>
    <r>
      <rPr>
        <sz val="10"/>
        <rFont val="Arial"/>
        <family val="2"/>
      </rPr>
      <t>(Angio / Dental / Fluoroscopy / General X ray)</t>
    </r>
  </si>
  <si>
    <r>
      <t xml:space="preserve">IV systems </t>
    </r>
    <r>
      <rPr>
        <sz val="10"/>
        <rFont val="Arial"/>
        <family val="2"/>
      </rPr>
      <t>(Syringe and Volumetric Pumps)</t>
    </r>
  </si>
  <si>
    <r>
      <t>Other medical equipment</t>
    </r>
    <r>
      <rPr>
        <sz val="10"/>
        <rFont val="Arial"/>
        <family val="2"/>
      </rPr>
      <t xml:space="preserve"> eg defibrillators, dialysis machines, endoscopes</t>
    </r>
  </si>
  <si>
    <t>Plant and machinery</t>
  </si>
  <si>
    <t>e-Health projects</t>
  </si>
  <si>
    <t>Intangible assets</t>
  </si>
  <si>
    <t>Donated assets additions</t>
  </si>
  <si>
    <t>Total Gross Direct Capital Expenditure</t>
  </si>
  <si>
    <t>Capital Receipts</t>
  </si>
  <si>
    <t>Donations (line 10.056)</t>
  </si>
  <si>
    <t>Capital receipts (line 10.096)</t>
  </si>
  <si>
    <t xml:space="preserve">Other  </t>
  </si>
  <si>
    <t>Total Capital Receipts</t>
  </si>
  <si>
    <r>
      <t xml:space="preserve">Total Net Direct Capital Expenditure </t>
    </r>
    <r>
      <rPr>
        <sz val="11"/>
        <rFont val="Arial"/>
        <family val="2"/>
      </rPr>
      <t>(line 10.059 plus line 10.063)</t>
    </r>
  </si>
  <si>
    <t>Indirect Capital Expenditure</t>
  </si>
  <si>
    <t>Capital grants (line 10.108)</t>
  </si>
  <si>
    <r>
      <t xml:space="preserve">Total Net Core Capital Expenditure </t>
    </r>
    <r>
      <rPr>
        <sz val="11"/>
        <rFont val="Arial"/>
        <family val="2"/>
      </rPr>
      <t>(line 10.064 plus line 10.065)</t>
    </r>
  </si>
  <si>
    <t>Capital Resource Limit (CRL)</t>
  </si>
  <si>
    <t xml:space="preserve">SGHSCD formula allocation </t>
  </si>
  <si>
    <t>Project specific funding</t>
  </si>
  <si>
    <t>Radiotherapy funding</t>
  </si>
  <si>
    <t>Hub enabling funding</t>
  </si>
  <si>
    <t>Other centrally provided capital funding</t>
  </si>
  <si>
    <t>Revenue to capital transfers</t>
  </si>
  <si>
    <t>Total Capital Resource Limit</t>
  </si>
  <si>
    <r>
      <t xml:space="preserve">Saving / </t>
    </r>
    <r>
      <rPr>
        <b/>
        <sz val="11"/>
        <color indexed="10"/>
        <rFont val="Arial"/>
        <family val="2"/>
      </rPr>
      <t>(Excess)</t>
    </r>
    <r>
      <rPr>
        <b/>
        <sz val="11"/>
        <rFont val="Arial"/>
        <family val="2"/>
      </rPr>
      <t xml:space="preserve"> against CRL</t>
    </r>
  </si>
  <si>
    <t>Analysis of Statutory Compliance and Backlog Maintenance Property Expenditure, Capital Receipts and Capital Grants</t>
  </si>
  <si>
    <t>Statutory compliance and backlog maintenance property expenditure</t>
  </si>
  <si>
    <r>
      <t xml:space="preserve">Capital Receipts Returned to SGHSCD </t>
    </r>
    <r>
      <rPr>
        <sz val="11"/>
        <rFont val="Arial"/>
        <family val="2"/>
      </rPr>
      <t>(please enter as negative values)</t>
    </r>
  </si>
  <si>
    <t>Total</t>
  </si>
  <si>
    <r>
      <t xml:space="preserve">Capital Grants </t>
    </r>
    <r>
      <rPr>
        <sz val="11"/>
        <rFont val="Arial"/>
        <family val="2"/>
      </rPr>
      <t>(list grants &gt; £50k)</t>
    </r>
  </si>
  <si>
    <t>Memoranda</t>
  </si>
  <si>
    <t>Non-core capital - ODEL: Revenue Finance - NPD / hub Asset Additions</t>
  </si>
  <si>
    <t xml:space="preserve">Total </t>
  </si>
  <si>
    <t>Total Core plus Non-Core Capital Expenditure</t>
  </si>
  <si>
    <t>External Funding Commitments - Payments</t>
  </si>
  <si>
    <t>Existing PPP unitary charges</t>
  </si>
  <si>
    <t>Proposed PPP unitary charges</t>
  </si>
  <si>
    <t>Proposed hub initiative unitary payments</t>
  </si>
  <si>
    <t>Finance leases</t>
  </si>
  <si>
    <t>Operating leases</t>
  </si>
  <si>
    <t xml:space="preserve">Conditional formatting for months 12 &amp; 13 </t>
  </si>
  <si>
    <t>NATIONAL WAITING TIMES CENTRE BOARD</t>
  </si>
  <si>
    <t>Service Productivity</t>
  </si>
  <si>
    <t>Support Services (non-clinical)</t>
  </si>
  <si>
    <t>Other local savings schemes (excluding efficient government schemes)</t>
  </si>
  <si>
    <t>Other savings schemes contributing to national efficient government schemes</t>
  </si>
  <si>
    <t>Statutory Compliance and Backlog Maintenance Property Expenditure</t>
  </si>
  <si>
    <t>Innovation Centre</t>
  </si>
  <si>
    <t>From return</t>
  </si>
  <si>
    <t>From E'OB page</t>
  </si>
  <si>
    <t>match colum u  upto row 39, then match budget</t>
  </si>
  <si>
    <t>Adjust between reserves and other to bring in line with prior month</t>
  </si>
  <si>
    <t>From Return</t>
  </si>
  <si>
    <t>2015-16 Forecast Year end Outturn</t>
  </si>
  <si>
    <t>2015-16 Year end Position</t>
  </si>
  <si>
    <t>Planned Plant Replacement</t>
  </si>
  <si>
    <t>Total Core Funding</t>
  </si>
  <si>
    <t>Total Core Funding/Income</t>
  </si>
  <si>
    <t>Income/Funding Core</t>
  </si>
  <si>
    <t>Funding non-core</t>
  </si>
  <si>
    <t>Provisions</t>
  </si>
  <si>
    <t>Total Core Funding/Income (page 2)</t>
  </si>
  <si>
    <t>Total Core RRL Funding</t>
  </si>
  <si>
    <t>Total Core Expenditure (page 3)</t>
  </si>
  <si>
    <t>Core Surplus/Deficit</t>
  </si>
  <si>
    <t>Non-Core Expenditure Surplus/Deficit</t>
  </si>
  <si>
    <t>Total Surplus/Deficit</t>
  </si>
  <si>
    <t xml:space="preserve">Core  </t>
  </si>
  <si>
    <t xml:space="preserve">Non-Core  </t>
  </si>
  <si>
    <t>Summary</t>
  </si>
  <si>
    <t>2016-17 Year to Date</t>
  </si>
  <si>
    <t>2016-17</t>
  </si>
  <si>
    <t>Non Core Funding (page 4)</t>
  </si>
  <si>
    <t>Non-Core Expenditure (page 4)</t>
  </si>
  <si>
    <t>Page 6</t>
  </si>
  <si>
    <t>Non-Core Income and Expenditure</t>
  </si>
  <si>
    <t xml:space="preserve">Total Non Core </t>
  </si>
  <si>
    <t>Page 4 - Non-Core Funding and Expenditure</t>
  </si>
  <si>
    <t>Total Non-Core Funding</t>
  </si>
  <si>
    <t>2016/176 Year-end Forecast</t>
  </si>
  <si>
    <t>Other Shared Services</t>
  </si>
  <si>
    <t>Depreciation - Donated Assets (AME)</t>
  </si>
  <si>
    <t>Impairment (AME)</t>
  </si>
  <si>
    <t>December 2016</t>
  </si>
  <si>
    <t>2016-17 - January 2017</t>
  </si>
  <si>
    <t>January</t>
  </si>
</sst>
</file>

<file path=xl/styles.xml><?xml version="1.0" encoding="utf-8"?>
<styleSheet xmlns="http://schemas.openxmlformats.org/spreadsheetml/2006/main">
  <numFmts count="10">
    <numFmt numFmtId="43" formatCode="_-* #,##0.00_-;\-* #,##0.00_-;_-* &quot;-&quot;??_-;_-@_-"/>
    <numFmt numFmtId="164" formatCode="_-* #,##0_-;\-* #,##0_-;_-* &quot;-&quot;??_-;_-@_-"/>
    <numFmt numFmtId="165" formatCode="#,##0;[Red]\(#,##0\)"/>
    <numFmt numFmtId="166" formatCode="mmmm\ d\,\ yyyy"/>
    <numFmt numFmtId="167" formatCode=";;;"/>
    <numFmt numFmtId="168" formatCode="#,##0_ ;[Red]\(#,##0\)\ "/>
    <numFmt numFmtId="169" formatCode="0.000"/>
    <numFmt numFmtId="170" formatCode="#,##0_ ;[Red]\(#,##0\)"/>
    <numFmt numFmtId="171" formatCode="0.000%"/>
    <numFmt numFmtId="172" formatCode="#,##0.00;[Red]\(#,##0.00\)"/>
  </numFmts>
  <fonts count="48">
    <font>
      <sz val="10"/>
      <name val="MS Sans Serif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0"/>
      <name val="MS Sans Serif"/>
      <family val="2"/>
    </font>
    <font>
      <sz val="10"/>
      <name val="Arial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b/>
      <sz val="10"/>
      <name val="Arial"/>
      <family val="2"/>
    </font>
    <font>
      <sz val="10"/>
      <color indexed="12"/>
      <name val="Arial"/>
      <family val="2"/>
    </font>
    <font>
      <sz val="10"/>
      <name val="Arial"/>
      <family val="2"/>
    </font>
    <font>
      <b/>
      <i/>
      <sz val="10"/>
      <name val="Arial"/>
      <family val="2"/>
    </font>
    <font>
      <i/>
      <sz val="10"/>
      <name val="Arial"/>
      <family val="2"/>
    </font>
    <font>
      <sz val="8"/>
      <name val="MS Sans Serif"/>
      <family val="2"/>
    </font>
    <font>
      <sz val="11"/>
      <name val="Arial"/>
      <family val="2"/>
    </font>
    <font>
      <b/>
      <sz val="10"/>
      <color indexed="62"/>
      <name val="Arial"/>
      <family val="2"/>
    </font>
    <font>
      <b/>
      <sz val="11"/>
      <name val="Arial"/>
      <family val="2"/>
    </font>
    <font>
      <b/>
      <sz val="11"/>
      <color indexed="62"/>
      <name val="Arial"/>
      <family val="2"/>
    </font>
    <font>
      <b/>
      <sz val="11"/>
      <color indexed="9"/>
      <name val="Arial"/>
      <family val="2"/>
    </font>
    <font>
      <b/>
      <sz val="11"/>
      <color indexed="10"/>
      <name val="Arial"/>
      <family val="2"/>
    </font>
    <font>
      <sz val="9"/>
      <color indexed="81"/>
      <name val="Tahoma"/>
      <family val="2"/>
    </font>
    <font>
      <sz val="8"/>
      <color indexed="81"/>
      <name val="Tahoma"/>
      <family val="2"/>
    </font>
    <font>
      <sz val="7"/>
      <name val="Arial"/>
      <family val="2"/>
    </font>
    <font>
      <sz val="10"/>
      <color indexed="9"/>
      <name val="Arial"/>
      <family val="2"/>
    </font>
    <font>
      <b/>
      <sz val="7"/>
      <name val="Arial"/>
      <family val="2"/>
    </font>
    <font>
      <sz val="8"/>
      <name val="Arial"/>
      <family val="2"/>
    </font>
    <font>
      <i/>
      <sz val="11"/>
      <name val="Arial"/>
      <family val="2"/>
    </font>
    <font>
      <b/>
      <sz val="10"/>
      <color indexed="12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b/>
      <sz val="10"/>
      <color indexed="10"/>
      <name val="MS Sans Serif"/>
      <family val="2"/>
    </font>
    <font>
      <b/>
      <sz val="10"/>
      <color indexed="10"/>
      <name val="Arial"/>
      <family val="2"/>
    </font>
    <font>
      <b/>
      <sz val="11"/>
      <color indexed="10"/>
      <name val="Arial"/>
      <family val="2"/>
    </font>
    <font>
      <sz val="10"/>
      <color indexed="10"/>
      <name val="Arial"/>
      <family val="2"/>
    </font>
    <font>
      <sz val="10"/>
      <color rgb="FFFF0000"/>
      <name val="Arial"/>
      <family val="2"/>
    </font>
    <font>
      <sz val="10"/>
      <color theme="3"/>
      <name val="Arial"/>
      <family val="2"/>
    </font>
  </fonts>
  <fills count="2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6"/>
        <bgColor indexed="64"/>
      </patternFill>
    </fill>
  </fills>
  <borders count="5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7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9" borderId="0" applyNumberFormat="0" applyBorder="0" applyAlignment="0" applyProtection="0"/>
    <xf numFmtId="0" fontId="3" fillId="3" borderId="0" applyNumberFormat="0" applyBorder="0" applyAlignment="0" applyProtection="0"/>
    <xf numFmtId="0" fontId="4" fillId="20" borderId="1" applyNumberFormat="0" applyAlignment="0" applyProtection="0"/>
    <xf numFmtId="0" fontId="5" fillId="21" borderId="2" applyNumberFormat="0" applyAlignment="0" applyProtection="0"/>
    <xf numFmtId="43" fontId="6" fillId="0" borderId="0" applyFont="0" applyFill="0" applyBorder="0" applyAlignment="0" applyProtection="0"/>
    <xf numFmtId="3" fontId="7" fillId="0" borderId="0" applyFill="0" applyBorder="0" applyAlignment="0" applyProtection="0"/>
    <xf numFmtId="166" fontId="7" fillId="0" borderId="0" applyFill="0" applyBorder="0" applyAlignment="0" applyProtection="0"/>
    <xf numFmtId="0" fontId="8" fillId="0" borderId="0" applyNumberFormat="0" applyFill="0" applyBorder="0" applyAlignment="0" applyProtection="0"/>
    <xf numFmtId="0" fontId="9" fillId="4" borderId="0" applyNumberFormat="0" applyBorder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7" borderId="1" applyNumberFormat="0" applyAlignment="0" applyProtection="0"/>
    <xf numFmtId="0" fontId="14" fillId="0" borderId="6" applyNumberFormat="0" applyFill="0" applyAlignment="0" applyProtection="0"/>
    <xf numFmtId="0" fontId="15" fillId="22" borderId="0" applyNumberFormat="0" applyBorder="0" applyAlignment="0" applyProtection="0"/>
    <xf numFmtId="0" fontId="7" fillId="0" borderId="0"/>
    <xf numFmtId="0" fontId="7" fillId="23" borderId="7" applyNumberFormat="0" applyFont="0" applyAlignment="0" applyProtection="0"/>
    <xf numFmtId="0" fontId="16" fillId="20" borderId="8" applyNumberFormat="0" applyAlignment="0" applyProtection="0"/>
    <xf numFmtId="9" fontId="6" fillId="0" borderId="0" applyFon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9" fillId="0" borderId="0" applyNumberFormat="0" applyFill="0" applyBorder="0" applyAlignment="0" applyProtection="0"/>
  </cellStyleXfs>
  <cellXfs count="357">
    <xf numFmtId="0" fontId="0" fillId="0" borderId="0" xfId="0"/>
    <xf numFmtId="0" fontId="7" fillId="0" borderId="0" xfId="40"/>
    <xf numFmtId="165" fontId="7" fillId="0" borderId="0" xfId="40" applyNumberFormat="1" applyAlignment="1">
      <alignment horizontal="center"/>
    </xf>
    <xf numFmtId="0" fontId="7" fillId="0" borderId="0" xfId="40" applyAlignment="1">
      <alignment horizontal="center"/>
    </xf>
    <xf numFmtId="0" fontId="20" fillId="0" borderId="0" xfId="40" applyFont="1" applyBorder="1"/>
    <xf numFmtId="164" fontId="7" fillId="0" borderId="0" xfId="28" applyNumberFormat="1" applyFont="1" applyAlignment="1">
      <alignment horizontal="center"/>
    </xf>
    <xf numFmtId="167" fontId="7" fillId="0" borderId="0" xfId="40" applyNumberFormat="1" applyAlignment="1">
      <alignment horizontal="center"/>
    </xf>
    <xf numFmtId="0" fontId="20" fillId="0" borderId="0" xfId="40" applyFont="1"/>
    <xf numFmtId="0" fontId="20" fillId="0" borderId="10" xfId="40" applyFont="1" applyBorder="1"/>
    <xf numFmtId="0" fontId="20" fillId="0" borderId="10" xfId="40" applyFont="1" applyBorder="1" applyAlignment="1">
      <alignment horizontal="center"/>
    </xf>
    <xf numFmtId="0" fontId="7" fillId="0" borderId="11" xfId="40" applyBorder="1"/>
    <xf numFmtId="165" fontId="20" fillId="0" borderId="12" xfId="40" applyNumberFormat="1" applyFont="1" applyBorder="1" applyAlignment="1">
      <alignment horizontal="center"/>
    </xf>
    <xf numFmtId="165" fontId="20" fillId="0" borderId="13" xfId="40" applyNumberFormat="1" applyFont="1" applyBorder="1" applyAlignment="1">
      <alignment horizontal="center"/>
    </xf>
    <xf numFmtId="165" fontId="20" fillId="0" borderId="14" xfId="40" applyNumberFormat="1" applyFont="1" applyBorder="1" applyAlignment="1">
      <alignment horizontal="center"/>
    </xf>
    <xf numFmtId="165" fontId="20" fillId="0" borderId="15" xfId="40" applyNumberFormat="1" applyFont="1" applyBorder="1" applyAlignment="1">
      <alignment horizontal="center"/>
    </xf>
    <xf numFmtId="0" fontId="20" fillId="0" borderId="11" xfId="40" applyFont="1" applyBorder="1" applyAlignment="1">
      <alignment horizontal="center"/>
    </xf>
    <xf numFmtId="38" fontId="7" fillId="0" borderId="0" xfId="40" applyNumberFormat="1" applyBorder="1"/>
    <xf numFmtId="165" fontId="20" fillId="0" borderId="16" xfId="40" quotePrefix="1" applyNumberFormat="1" applyFont="1" applyBorder="1" applyAlignment="1">
      <alignment horizontal="center"/>
    </xf>
    <xf numFmtId="165" fontId="20" fillId="0" borderId="17" xfId="40" applyNumberFormat="1" applyFont="1" applyBorder="1" applyAlignment="1">
      <alignment horizontal="center"/>
    </xf>
    <xf numFmtId="165" fontId="20" fillId="0" borderId="18" xfId="40" quotePrefix="1" applyNumberFormat="1" applyFont="1" applyBorder="1" applyAlignment="1">
      <alignment horizontal="center"/>
    </xf>
    <xf numFmtId="165" fontId="20" fillId="0" borderId="19" xfId="40" quotePrefix="1" applyNumberFormat="1" applyFont="1" applyBorder="1" applyAlignment="1">
      <alignment horizontal="center"/>
    </xf>
    <xf numFmtId="165" fontId="20" fillId="0" borderId="20" xfId="40" quotePrefix="1" applyNumberFormat="1" applyFont="1" applyBorder="1" applyAlignment="1">
      <alignment horizontal="center"/>
    </xf>
    <xf numFmtId="165" fontId="20" fillId="0" borderId="0" xfId="40" applyNumberFormat="1" applyFont="1" applyBorder="1" applyAlignment="1">
      <alignment horizontal="center"/>
    </xf>
    <xf numFmtId="165" fontId="20" fillId="0" borderId="21" xfId="40" applyNumberFormat="1" applyFont="1" applyBorder="1" applyAlignment="1">
      <alignment horizontal="center"/>
    </xf>
    <xf numFmtId="165" fontId="20" fillId="0" borderId="11" xfId="40" applyNumberFormat="1" applyFont="1" applyBorder="1" applyAlignment="1">
      <alignment horizontal="center"/>
    </xf>
    <xf numFmtId="38" fontId="7" fillId="0" borderId="0" xfId="40" applyNumberFormat="1" applyBorder="1" applyAlignment="1">
      <alignment horizontal="center"/>
    </xf>
    <xf numFmtId="165" fontId="7" fillId="0" borderId="22" xfId="40" applyNumberFormat="1" applyBorder="1" applyAlignment="1">
      <alignment horizontal="right"/>
    </xf>
    <xf numFmtId="165" fontId="7" fillId="0" borderId="23" xfId="40" applyNumberFormat="1" applyBorder="1" applyAlignment="1">
      <alignment horizontal="right"/>
    </xf>
    <xf numFmtId="165" fontId="21" fillId="0" borderId="24" xfId="40" applyNumberFormat="1" applyFont="1" applyBorder="1" applyAlignment="1">
      <alignment horizontal="right"/>
    </xf>
    <xf numFmtId="165" fontId="7" fillId="0" borderId="0" xfId="40" applyNumberFormat="1" applyBorder="1" applyAlignment="1">
      <alignment horizontal="right"/>
    </xf>
    <xf numFmtId="165" fontId="7" fillId="0" borderId="21" xfId="40" applyNumberFormat="1" applyBorder="1" applyAlignment="1">
      <alignment horizontal="right"/>
    </xf>
    <xf numFmtId="165" fontId="7" fillId="0" borderId="11" xfId="40" applyNumberFormat="1" applyBorder="1" applyAlignment="1">
      <alignment horizontal="center"/>
    </xf>
    <xf numFmtId="165" fontId="7" fillId="0" borderId="16" xfId="40" applyNumberFormat="1" applyBorder="1" applyAlignment="1">
      <alignment horizontal="right"/>
    </xf>
    <xf numFmtId="165" fontId="7" fillId="0" borderId="17" xfId="40" applyNumberFormat="1" applyBorder="1" applyAlignment="1">
      <alignment horizontal="right"/>
    </xf>
    <xf numFmtId="165" fontId="7" fillId="0" borderId="25" xfId="40" applyNumberFormat="1" applyBorder="1" applyAlignment="1">
      <alignment horizontal="right"/>
    </xf>
    <xf numFmtId="165" fontId="7" fillId="0" borderId="19" xfId="40" applyNumberFormat="1" applyBorder="1" applyAlignment="1">
      <alignment horizontal="right"/>
    </xf>
    <xf numFmtId="165" fontId="7" fillId="0" borderId="20" xfId="40" applyNumberFormat="1" applyBorder="1" applyAlignment="1">
      <alignment horizontal="center"/>
    </xf>
    <xf numFmtId="165" fontId="20" fillId="0" borderId="22" xfId="40" applyNumberFormat="1" applyFont="1" applyBorder="1" applyAlignment="1">
      <alignment horizontal="right"/>
    </xf>
    <xf numFmtId="165" fontId="20" fillId="0" borderId="24" xfId="40" applyNumberFormat="1" applyFont="1" applyBorder="1" applyAlignment="1">
      <alignment horizontal="right"/>
    </xf>
    <xf numFmtId="165" fontId="20" fillId="0" borderId="0" xfId="40" applyNumberFormat="1" applyFont="1" applyBorder="1" applyAlignment="1">
      <alignment horizontal="right"/>
    </xf>
    <xf numFmtId="165" fontId="20" fillId="0" borderId="21" xfId="40" applyNumberFormat="1" applyFont="1" applyBorder="1" applyAlignment="1">
      <alignment horizontal="right"/>
    </xf>
    <xf numFmtId="165" fontId="21" fillId="0" borderId="22" xfId="40" applyNumberFormat="1" applyFont="1" applyBorder="1" applyAlignment="1">
      <alignment horizontal="right"/>
    </xf>
    <xf numFmtId="165" fontId="7" fillId="0" borderId="24" xfId="40" applyNumberFormat="1" applyBorder="1" applyAlignment="1">
      <alignment horizontal="right"/>
    </xf>
    <xf numFmtId="0" fontId="7" fillId="0" borderId="11" xfId="40" applyBorder="1" applyAlignment="1">
      <alignment horizontal="center"/>
    </xf>
    <xf numFmtId="0" fontId="20" fillId="0" borderId="11" xfId="40" applyFont="1" applyBorder="1"/>
    <xf numFmtId="165" fontId="20" fillId="0" borderId="26" xfId="40" applyNumberFormat="1" applyFont="1" applyBorder="1" applyAlignment="1">
      <alignment horizontal="right"/>
    </xf>
    <xf numFmtId="165" fontId="7" fillId="0" borderId="27" xfId="40" applyNumberFormat="1" applyBorder="1" applyAlignment="1">
      <alignment horizontal="right"/>
    </xf>
    <xf numFmtId="165" fontId="20" fillId="0" borderId="28" xfId="40" applyNumberFormat="1" applyFont="1" applyBorder="1" applyAlignment="1">
      <alignment horizontal="right"/>
    </xf>
    <xf numFmtId="165" fontId="20" fillId="0" borderId="27" xfId="40" applyNumberFormat="1" applyFont="1" applyBorder="1" applyAlignment="1">
      <alignment horizontal="right"/>
    </xf>
    <xf numFmtId="165" fontId="20" fillId="0" borderId="29" xfId="40" applyNumberFormat="1" applyFont="1" applyBorder="1" applyAlignment="1">
      <alignment horizontal="right"/>
    </xf>
    <xf numFmtId="165" fontId="20" fillId="0" borderId="30" xfId="40" applyNumberFormat="1" applyFont="1" applyBorder="1" applyAlignment="1">
      <alignment horizontal="center"/>
    </xf>
    <xf numFmtId="165" fontId="7" fillId="0" borderId="22" xfId="40" applyNumberFormat="1" applyBorder="1" applyAlignment="1">
      <alignment horizontal="center"/>
    </xf>
    <xf numFmtId="165" fontId="7" fillId="0" borderId="14" xfId="40" applyNumberFormat="1" applyBorder="1" applyAlignment="1">
      <alignment horizontal="right"/>
    </xf>
    <xf numFmtId="165" fontId="7" fillId="0" borderId="23" xfId="40" applyNumberFormat="1" applyBorder="1" applyAlignment="1">
      <alignment horizontal="center"/>
    </xf>
    <xf numFmtId="165" fontId="7" fillId="0" borderId="24" xfId="40" applyNumberFormat="1" applyBorder="1" applyAlignment="1">
      <alignment horizontal="center"/>
    </xf>
    <xf numFmtId="165" fontId="7" fillId="0" borderId="0" xfId="40" applyNumberFormat="1" applyBorder="1" applyAlignment="1">
      <alignment horizontal="center"/>
    </xf>
    <xf numFmtId="165" fontId="7" fillId="0" borderId="21" xfId="40" applyNumberFormat="1" applyBorder="1" applyAlignment="1">
      <alignment horizontal="center"/>
    </xf>
    <xf numFmtId="0" fontId="23" fillId="0" borderId="11" xfId="40" applyFont="1" applyBorder="1" applyAlignment="1">
      <alignment horizontal="left"/>
    </xf>
    <xf numFmtId="0" fontId="22" fillId="0" borderId="11" xfId="40" applyFont="1" applyBorder="1"/>
    <xf numFmtId="165" fontId="22" fillId="0" borderId="22" xfId="40" applyNumberFormat="1" applyFont="1" applyBorder="1" applyAlignment="1">
      <alignment horizontal="right"/>
    </xf>
    <xf numFmtId="165" fontId="22" fillId="0" borderId="24" xfId="40" applyNumberFormat="1" applyFont="1" applyBorder="1" applyAlignment="1">
      <alignment horizontal="right"/>
    </xf>
    <xf numFmtId="164" fontId="7" fillId="0" borderId="0" xfId="28" applyNumberFormat="1" applyFont="1"/>
    <xf numFmtId="0" fontId="7" fillId="0" borderId="31" xfId="40" applyBorder="1"/>
    <xf numFmtId="165" fontId="7" fillId="0" borderId="32" xfId="40" applyNumberFormat="1" applyBorder="1" applyAlignment="1">
      <alignment horizontal="right"/>
    </xf>
    <xf numFmtId="165" fontId="7" fillId="0" borderId="33" xfId="40" applyNumberFormat="1" applyBorder="1" applyAlignment="1">
      <alignment horizontal="right"/>
    </xf>
    <xf numFmtId="165" fontId="7" fillId="0" borderId="34" xfId="40" applyNumberFormat="1" applyBorder="1" applyAlignment="1">
      <alignment horizontal="right"/>
    </xf>
    <xf numFmtId="165" fontId="7" fillId="0" borderId="35" xfId="40" applyNumberFormat="1" applyBorder="1" applyAlignment="1">
      <alignment horizontal="right"/>
    </xf>
    <xf numFmtId="165" fontId="7" fillId="0" borderId="36" xfId="40" applyNumberFormat="1" applyBorder="1" applyAlignment="1">
      <alignment horizontal="right"/>
    </xf>
    <xf numFmtId="0" fontId="7" fillId="0" borderId="31" xfId="40" applyBorder="1" applyAlignment="1">
      <alignment horizontal="center"/>
    </xf>
    <xf numFmtId="164" fontId="7" fillId="0" borderId="0" xfId="40" applyNumberFormat="1"/>
    <xf numFmtId="165" fontId="7" fillId="0" borderId="0" xfId="40" applyNumberFormat="1" applyAlignment="1">
      <alignment horizontal="right"/>
    </xf>
    <xf numFmtId="0" fontId="24" fillId="0" borderId="11" xfId="40" applyFont="1" applyBorder="1"/>
    <xf numFmtId="165" fontId="7" fillId="0" borderId="35" xfId="40" applyNumberFormat="1" applyBorder="1" applyAlignment="1">
      <alignment horizontal="center"/>
    </xf>
    <xf numFmtId="0" fontId="7" fillId="0" borderId="0" xfId="40" applyBorder="1"/>
    <xf numFmtId="0" fontId="7" fillId="0" borderId="11" xfId="40" applyFont="1" applyBorder="1"/>
    <xf numFmtId="165" fontId="20" fillId="0" borderId="37" xfId="40" applyNumberFormat="1" applyFont="1" applyBorder="1" applyAlignment="1">
      <alignment horizontal="right"/>
    </xf>
    <xf numFmtId="0" fontId="22" fillId="0" borderId="11" xfId="40" applyFont="1" applyBorder="1" applyAlignment="1">
      <alignment horizontal="left"/>
    </xf>
    <xf numFmtId="165" fontId="7" fillId="0" borderId="22" xfId="40" applyNumberFormat="1" applyFont="1" applyBorder="1" applyAlignment="1">
      <alignment horizontal="right"/>
    </xf>
    <xf numFmtId="165" fontId="22" fillId="0" borderId="11" xfId="40" applyNumberFormat="1" applyFont="1" applyBorder="1" applyAlignment="1">
      <alignment horizontal="center"/>
    </xf>
    <xf numFmtId="0" fontId="0" fillId="24" borderId="38" xfId="0" applyFill="1" applyBorder="1" applyProtection="1"/>
    <xf numFmtId="0" fontId="26" fillId="24" borderId="39" xfId="0" applyFont="1" applyFill="1" applyBorder="1" applyProtection="1"/>
    <xf numFmtId="0" fontId="26" fillId="24" borderId="39" xfId="0" applyFont="1" applyFill="1" applyBorder="1" applyAlignment="1" applyProtection="1">
      <alignment horizontal="center"/>
    </xf>
    <xf numFmtId="0" fontId="0" fillId="24" borderId="40" xfId="0" applyFill="1" applyBorder="1" applyProtection="1"/>
    <xf numFmtId="0" fontId="27" fillId="24" borderId="41" xfId="0" applyFont="1" applyFill="1" applyBorder="1" applyProtection="1"/>
    <xf numFmtId="0" fontId="29" fillId="24" borderId="0" xfId="0" applyFont="1" applyFill="1" applyBorder="1" applyAlignment="1" applyProtection="1">
      <alignment horizontal="center"/>
    </xf>
    <xf numFmtId="0" fontId="27" fillId="24" borderId="21" xfId="0" applyFont="1" applyFill="1" applyBorder="1" applyProtection="1"/>
    <xf numFmtId="0" fontId="0" fillId="24" borderId="41" xfId="0" applyFill="1" applyBorder="1" applyProtection="1"/>
    <xf numFmtId="0" fontId="26" fillId="24" borderId="0" xfId="0" applyFont="1" applyFill="1" applyBorder="1" applyProtection="1"/>
    <xf numFmtId="0" fontId="26" fillId="24" borderId="37" xfId="0" applyFont="1" applyFill="1" applyBorder="1" applyProtection="1"/>
    <xf numFmtId="0" fontId="26" fillId="24" borderId="37" xfId="0" applyFont="1" applyFill="1" applyBorder="1" applyAlignment="1" applyProtection="1">
      <alignment horizontal="center"/>
    </xf>
    <xf numFmtId="0" fontId="26" fillId="24" borderId="0" xfId="0" applyFont="1" applyFill="1" applyBorder="1" applyAlignment="1" applyProtection="1">
      <alignment horizontal="center"/>
    </xf>
    <xf numFmtId="0" fontId="0" fillId="24" borderId="21" xfId="0" applyFill="1" applyBorder="1" applyProtection="1"/>
    <xf numFmtId="0" fontId="30" fillId="25" borderId="42" xfId="0" applyFont="1" applyFill="1" applyBorder="1" applyAlignment="1" applyProtection="1">
      <alignment horizontal="center" vertical="center" wrapText="1"/>
    </xf>
    <xf numFmtId="0" fontId="0" fillId="0" borderId="41" xfId="0" applyFill="1" applyBorder="1" applyProtection="1"/>
    <xf numFmtId="168" fontId="28" fillId="0" borderId="43" xfId="0" applyNumberFormat="1" applyFont="1" applyFill="1" applyBorder="1" applyAlignment="1" applyProtection="1">
      <alignment horizontal="center" vertical="center" wrapText="1"/>
    </xf>
    <xf numFmtId="0" fontId="0" fillId="0" borderId="21" xfId="0" applyFill="1" applyBorder="1" applyProtection="1"/>
    <xf numFmtId="0" fontId="0" fillId="0" borderId="0" xfId="0" applyFill="1"/>
    <xf numFmtId="168" fontId="28" fillId="0" borderId="44" xfId="0" applyNumberFormat="1" applyFont="1" applyFill="1" applyBorder="1" applyAlignment="1" applyProtection="1">
      <alignment horizontal="center"/>
    </xf>
    <xf numFmtId="0" fontId="26" fillId="0" borderId="45" xfId="0" applyFont="1" applyFill="1" applyBorder="1" applyAlignment="1" applyProtection="1"/>
    <xf numFmtId="0" fontId="28" fillId="0" borderId="13" xfId="0" applyFont="1" applyFill="1" applyBorder="1" applyProtection="1"/>
    <xf numFmtId="0" fontId="20" fillId="0" borderId="42" xfId="0" applyFont="1" applyFill="1" applyBorder="1" applyAlignment="1" applyProtection="1">
      <alignment horizontal="center"/>
    </xf>
    <xf numFmtId="0" fontId="26" fillId="0" borderId="43" xfId="0" applyFont="1" applyFill="1" applyBorder="1" applyAlignment="1" applyProtection="1">
      <alignment vertical="center" wrapText="1"/>
    </xf>
    <xf numFmtId="168" fontId="26" fillId="0" borderId="45" xfId="0" applyNumberFormat="1" applyFont="1" applyFill="1" applyBorder="1" applyAlignment="1" applyProtection="1">
      <alignment horizontal="center"/>
    </xf>
    <xf numFmtId="0" fontId="26" fillId="0" borderId="45" xfId="0" applyFont="1" applyFill="1" applyBorder="1" applyAlignment="1" applyProtection="1">
      <alignment vertical="center" wrapText="1"/>
    </xf>
    <xf numFmtId="0" fontId="28" fillId="0" borderId="45" xfId="0" applyFont="1" applyFill="1" applyBorder="1" applyProtection="1"/>
    <xf numFmtId="3" fontId="28" fillId="0" borderId="43" xfId="0" applyNumberFormat="1" applyFont="1" applyFill="1" applyBorder="1" applyAlignment="1" applyProtection="1">
      <alignment horizontal="center"/>
    </xf>
    <xf numFmtId="168" fontId="28" fillId="0" borderId="43" xfId="0" applyNumberFormat="1" applyFont="1" applyFill="1" applyBorder="1" applyAlignment="1" applyProtection="1">
      <alignment horizontal="center"/>
    </xf>
    <xf numFmtId="168" fontId="28" fillId="0" borderId="14" xfId="0" applyNumberFormat="1" applyFont="1" applyFill="1" applyBorder="1" applyAlignment="1" applyProtection="1">
      <alignment horizontal="center"/>
    </xf>
    <xf numFmtId="0" fontId="0" fillId="24" borderId="46" xfId="0" applyFill="1" applyBorder="1" applyProtection="1"/>
    <xf numFmtId="0" fontId="26" fillId="24" borderId="35" xfId="0" applyFont="1" applyFill="1" applyBorder="1" applyProtection="1"/>
    <xf numFmtId="0" fontId="0" fillId="24" borderId="36" xfId="0" applyFill="1" applyBorder="1" applyProtection="1"/>
    <xf numFmtId="0" fontId="20" fillId="0" borderId="38" xfId="40" applyFont="1" applyBorder="1"/>
    <xf numFmtId="0" fontId="7" fillId="0" borderId="39" xfId="40" applyBorder="1"/>
    <xf numFmtId="0" fontId="7" fillId="0" borderId="41" xfId="40" applyBorder="1"/>
    <xf numFmtId="0" fontId="7" fillId="0" borderId="41" xfId="40" applyFont="1" applyBorder="1"/>
    <xf numFmtId="0" fontId="20" fillId="0" borderId="41" xfId="40" applyFont="1" applyBorder="1"/>
    <xf numFmtId="0" fontId="7" fillId="0" borderId="46" xfId="40" applyBorder="1"/>
    <xf numFmtId="0" fontId="7" fillId="0" borderId="35" xfId="40" applyBorder="1"/>
    <xf numFmtId="165" fontId="7" fillId="0" borderId="36" xfId="40" applyNumberFormat="1" applyBorder="1" applyAlignment="1">
      <alignment horizontal="center"/>
    </xf>
    <xf numFmtId="0" fontId="0" fillId="0" borderId="0" xfId="0" applyFill="1" applyProtection="1"/>
    <xf numFmtId="0" fontId="0" fillId="0" borderId="0" xfId="0" applyProtection="1"/>
    <xf numFmtId="169" fontId="34" fillId="0" borderId="0" xfId="0" applyNumberFormat="1" applyFont="1" applyFill="1" applyAlignment="1" applyProtection="1">
      <alignment horizontal="center"/>
    </xf>
    <xf numFmtId="0" fontId="26" fillId="0" borderId="0" xfId="0" applyFont="1" applyFill="1" applyProtection="1"/>
    <xf numFmtId="0" fontId="35" fillId="0" borderId="0" xfId="0" applyFont="1" applyProtection="1"/>
    <xf numFmtId="0" fontId="20" fillId="24" borderId="21" xfId="0" applyFont="1" applyFill="1" applyBorder="1" applyProtection="1"/>
    <xf numFmtId="168" fontId="30" fillId="25" borderId="42" xfId="0" applyNumberFormat="1" applyFont="1" applyFill="1" applyBorder="1" applyAlignment="1" applyProtection="1">
      <alignment horizontal="center" vertical="center" wrapText="1"/>
    </xf>
    <xf numFmtId="165" fontId="26" fillId="24" borderId="45" xfId="0" applyNumberFormat="1" applyFont="1" applyFill="1" applyBorder="1" applyAlignment="1" applyProtection="1">
      <alignment horizontal="center" wrapText="1"/>
    </xf>
    <xf numFmtId="165" fontId="26" fillId="24" borderId="45" xfId="0" applyNumberFormat="1" applyFont="1" applyFill="1" applyBorder="1" applyProtection="1"/>
    <xf numFmtId="165" fontId="26" fillId="24" borderId="45" xfId="0" applyNumberFormat="1" applyFont="1" applyFill="1" applyBorder="1" applyAlignment="1" applyProtection="1">
      <alignment wrapText="1"/>
    </xf>
    <xf numFmtId="0" fontId="26" fillId="24" borderId="23" xfId="0" applyFont="1" applyFill="1" applyBorder="1" applyProtection="1"/>
    <xf numFmtId="165" fontId="26" fillId="0" borderId="45" xfId="0" applyNumberFormat="1" applyFont="1" applyFill="1" applyBorder="1" applyProtection="1"/>
    <xf numFmtId="165" fontId="28" fillId="0" borderId="42" xfId="0" applyNumberFormat="1" applyFont="1" applyFill="1" applyBorder="1" applyProtection="1"/>
    <xf numFmtId="165" fontId="28" fillId="0" borderId="42" xfId="0" applyNumberFormat="1" applyFont="1" applyFill="1" applyBorder="1" applyAlignment="1" applyProtection="1">
      <alignment horizontal="center" wrapText="1"/>
    </xf>
    <xf numFmtId="165" fontId="28" fillId="0" borderId="45" xfId="0" applyNumberFormat="1" applyFont="1" applyFill="1" applyBorder="1" applyProtection="1"/>
    <xf numFmtId="165" fontId="28" fillId="0" borderId="45" xfId="0" applyNumberFormat="1" applyFont="1" applyFill="1" applyBorder="1" applyAlignment="1" applyProtection="1">
      <alignment horizontal="center" wrapText="1"/>
    </xf>
    <xf numFmtId="0" fontId="20" fillId="0" borderId="21" xfId="0" applyFont="1" applyFill="1" applyBorder="1" applyProtection="1"/>
    <xf numFmtId="165" fontId="28" fillId="24" borderId="45" xfId="0" applyNumberFormat="1" applyFont="1" applyFill="1" applyBorder="1" applyProtection="1"/>
    <xf numFmtId="165" fontId="38" fillId="24" borderId="42" xfId="0" applyNumberFormat="1" applyFont="1" applyFill="1" applyBorder="1" applyProtection="1"/>
    <xf numFmtId="165" fontId="38" fillId="24" borderId="42" xfId="0" applyNumberFormat="1" applyFont="1" applyFill="1" applyBorder="1" applyAlignment="1" applyProtection="1">
      <alignment horizontal="center" wrapText="1"/>
    </xf>
    <xf numFmtId="0" fontId="38" fillId="24" borderId="42" xfId="0" applyFont="1" applyFill="1" applyBorder="1" applyProtection="1"/>
    <xf numFmtId="165" fontId="38" fillId="0" borderId="42" xfId="0" applyNumberFormat="1" applyFont="1" applyFill="1" applyBorder="1" applyAlignment="1" applyProtection="1">
      <alignment horizontal="center" wrapText="1"/>
    </xf>
    <xf numFmtId="165" fontId="38" fillId="0" borderId="27" xfId="0" applyNumberFormat="1" applyFont="1" applyFill="1" applyBorder="1" applyAlignment="1" applyProtection="1">
      <alignment horizontal="center" wrapText="1"/>
    </xf>
    <xf numFmtId="165" fontId="28" fillId="0" borderId="43" xfId="0" applyNumberFormat="1" applyFont="1" applyFill="1" applyBorder="1" applyProtection="1"/>
    <xf numFmtId="165" fontId="26" fillId="0" borderId="45" xfId="0" applyNumberFormat="1" applyFont="1" applyFill="1" applyBorder="1" applyAlignment="1" applyProtection="1">
      <alignment wrapText="1"/>
    </xf>
    <xf numFmtId="165" fontId="26" fillId="0" borderId="45" xfId="0" applyNumberFormat="1" applyFont="1" applyFill="1" applyBorder="1" applyAlignment="1" applyProtection="1">
      <alignment horizontal="center" wrapText="1"/>
    </xf>
    <xf numFmtId="165" fontId="28" fillId="24" borderId="42" xfId="0" applyNumberFormat="1" applyFont="1" applyFill="1" applyBorder="1" applyProtection="1"/>
    <xf numFmtId="165" fontId="26" fillId="24" borderId="43" xfId="0" applyNumberFormat="1" applyFont="1" applyFill="1" applyBorder="1" applyAlignment="1" applyProtection="1">
      <alignment horizontal="center" wrapText="1"/>
    </xf>
    <xf numFmtId="165" fontId="26" fillId="24" borderId="43" xfId="0" applyNumberFormat="1" applyFont="1" applyFill="1" applyBorder="1" applyProtection="1"/>
    <xf numFmtId="0" fontId="35" fillId="0" borderId="0" xfId="0" applyFont="1" applyFill="1" applyProtection="1"/>
    <xf numFmtId="165" fontId="26" fillId="24" borderId="44" xfId="0" applyNumberFormat="1" applyFont="1" applyFill="1" applyBorder="1" applyAlignment="1" applyProtection="1">
      <alignment horizontal="center" wrapText="1"/>
    </xf>
    <xf numFmtId="165" fontId="28" fillId="0" borderId="43" xfId="0" applyNumberFormat="1" applyFont="1" applyFill="1" applyBorder="1" applyAlignment="1" applyProtection="1">
      <alignment horizontal="center" wrapText="1"/>
    </xf>
    <xf numFmtId="0" fontId="28" fillId="24" borderId="43" xfId="0" applyFont="1" applyFill="1" applyBorder="1" applyProtection="1"/>
    <xf numFmtId="165" fontId="28" fillId="24" borderId="42" xfId="0" applyNumberFormat="1" applyFont="1" applyFill="1" applyBorder="1" applyAlignment="1" applyProtection="1">
      <alignment horizontal="center" wrapText="1"/>
    </xf>
    <xf numFmtId="165" fontId="28" fillId="24" borderId="28" xfId="0" applyNumberFormat="1" applyFont="1" applyFill="1" applyBorder="1" applyAlignment="1" applyProtection="1">
      <alignment horizontal="center" wrapText="1"/>
    </xf>
    <xf numFmtId="165" fontId="28" fillId="24" borderId="43" xfId="0" applyNumberFormat="1" applyFont="1" applyFill="1" applyBorder="1" applyProtection="1"/>
    <xf numFmtId="165" fontId="26" fillId="0" borderId="44" xfId="0" applyNumberFormat="1" applyFont="1" applyFill="1" applyBorder="1" applyProtection="1"/>
    <xf numFmtId="165" fontId="28" fillId="0" borderId="44" xfId="0" applyNumberFormat="1" applyFont="1" applyFill="1" applyBorder="1" applyProtection="1"/>
    <xf numFmtId="165" fontId="28" fillId="0" borderId="42" xfId="0" applyNumberFormat="1" applyFont="1" applyFill="1" applyBorder="1" applyAlignment="1" applyProtection="1">
      <alignment wrapText="1"/>
    </xf>
    <xf numFmtId="165" fontId="7" fillId="0" borderId="14" xfId="40" applyNumberFormat="1" applyBorder="1" applyAlignment="1">
      <alignment horizontal="center"/>
    </xf>
    <xf numFmtId="165" fontId="7" fillId="0" borderId="12" xfId="40" applyNumberFormat="1" applyBorder="1" applyAlignment="1">
      <alignment horizontal="center"/>
    </xf>
    <xf numFmtId="165" fontId="20" fillId="0" borderId="47" xfId="40" applyNumberFormat="1" applyFont="1" applyBorder="1" applyAlignment="1">
      <alignment horizontal="center"/>
    </xf>
    <xf numFmtId="165" fontId="20" fillId="0" borderId="48" xfId="40" applyNumberFormat="1" applyFont="1" applyBorder="1" applyAlignment="1">
      <alignment horizontal="center"/>
    </xf>
    <xf numFmtId="165" fontId="20" fillId="0" borderId="49" xfId="40" applyNumberFormat="1" applyFont="1" applyBorder="1" applyAlignment="1">
      <alignment horizontal="center"/>
    </xf>
    <xf numFmtId="165" fontId="20" fillId="0" borderId="50" xfId="40" applyNumberFormat="1" applyFont="1" applyBorder="1" applyAlignment="1">
      <alignment horizontal="center"/>
    </xf>
    <xf numFmtId="165" fontId="20" fillId="0" borderId="51" xfId="40" applyNumberFormat="1" applyFont="1" applyBorder="1" applyAlignment="1">
      <alignment horizontal="center"/>
    </xf>
    <xf numFmtId="165" fontId="7" fillId="0" borderId="48" xfId="40" applyNumberFormat="1" applyBorder="1" applyAlignment="1">
      <alignment horizontal="center"/>
    </xf>
    <xf numFmtId="0" fontId="30" fillId="25" borderId="16" xfId="0" applyFont="1" applyFill="1" applyBorder="1" applyAlignment="1" applyProtection="1">
      <alignment horizontal="center" vertical="center" wrapText="1"/>
    </xf>
    <xf numFmtId="0" fontId="20" fillId="0" borderId="46" xfId="40" applyFont="1" applyBorder="1"/>
    <xf numFmtId="165" fontId="7" fillId="0" borderId="32" xfId="40" applyNumberFormat="1" applyBorder="1" applyAlignment="1">
      <alignment horizontal="center"/>
    </xf>
    <xf numFmtId="165" fontId="7" fillId="0" borderId="37" xfId="40" applyNumberFormat="1" applyBorder="1" applyAlignment="1">
      <alignment horizontal="right"/>
    </xf>
    <xf numFmtId="165" fontId="39" fillId="0" borderId="28" xfId="40" applyNumberFormat="1" applyFont="1" applyBorder="1" applyAlignment="1">
      <alignment horizontal="right"/>
    </xf>
    <xf numFmtId="0" fontId="7" fillId="0" borderId="11" xfId="40" applyFont="1" applyBorder="1" applyAlignment="1">
      <alignment wrapText="1"/>
    </xf>
    <xf numFmtId="0" fontId="20" fillId="0" borderId="11" xfId="40" applyFont="1" applyBorder="1" applyAlignment="1">
      <alignment horizontal="left"/>
    </xf>
    <xf numFmtId="165" fontId="20" fillId="0" borderId="24" xfId="40" applyNumberFormat="1" applyFont="1" applyBorder="1" applyAlignment="1">
      <alignment horizontal="center"/>
    </xf>
    <xf numFmtId="165" fontId="7" fillId="0" borderId="18" xfId="40" applyNumberFormat="1" applyBorder="1" applyAlignment="1">
      <alignment horizontal="right"/>
    </xf>
    <xf numFmtId="0" fontId="20" fillId="0" borderId="11" xfId="40" applyFont="1" applyBorder="1" applyAlignment="1">
      <alignment wrapText="1"/>
    </xf>
    <xf numFmtId="165" fontId="22" fillId="0" borderId="23" xfId="40" applyNumberFormat="1" applyFont="1" applyBorder="1" applyAlignment="1">
      <alignment horizontal="right"/>
    </xf>
    <xf numFmtId="165" fontId="20" fillId="0" borderId="14" xfId="40" applyNumberFormat="1" applyFont="1" applyBorder="1" applyAlignment="1">
      <alignment horizontal="right"/>
    </xf>
    <xf numFmtId="170" fontId="26" fillId="27" borderId="45" xfId="0" applyNumberFormat="1" applyFont="1" applyFill="1" applyBorder="1" applyAlignment="1" applyProtection="1">
      <alignment horizontal="center"/>
      <protection locked="0"/>
    </xf>
    <xf numFmtId="169" fontId="34" fillId="24" borderId="38" xfId="0" applyNumberFormat="1" applyFont="1" applyFill="1" applyBorder="1" applyAlignment="1" applyProtection="1">
      <alignment horizontal="center"/>
    </xf>
    <xf numFmtId="169" fontId="36" fillId="24" borderId="41" xfId="0" applyNumberFormat="1" applyFont="1" applyFill="1" applyBorder="1" applyAlignment="1" applyProtection="1">
      <alignment horizontal="center"/>
    </xf>
    <xf numFmtId="169" fontId="34" fillId="24" borderId="41" xfId="0" applyNumberFormat="1" applyFont="1" applyFill="1" applyBorder="1" applyAlignment="1" applyProtection="1">
      <alignment horizontal="center"/>
    </xf>
    <xf numFmtId="169" fontId="37" fillId="24" borderId="41" xfId="0" applyNumberFormat="1" applyFont="1" applyFill="1" applyBorder="1" applyAlignment="1" applyProtection="1">
      <alignment horizontal="center" wrapText="1"/>
    </xf>
    <xf numFmtId="165" fontId="26" fillId="27" borderId="45" xfId="0" applyNumberFormat="1" applyFont="1" applyFill="1" applyBorder="1" applyAlignment="1" applyProtection="1">
      <alignment horizontal="center"/>
      <protection locked="0"/>
    </xf>
    <xf numFmtId="165" fontId="26" fillId="27" borderId="0" xfId="0" applyNumberFormat="1" applyFont="1" applyFill="1" applyBorder="1" applyAlignment="1" applyProtection="1">
      <alignment horizontal="center"/>
      <protection locked="0"/>
    </xf>
    <xf numFmtId="165" fontId="26" fillId="27" borderId="45" xfId="0" applyNumberFormat="1" applyFont="1" applyFill="1" applyBorder="1" applyProtection="1">
      <protection locked="0"/>
    </xf>
    <xf numFmtId="165" fontId="26" fillId="27" borderId="45" xfId="0" applyNumberFormat="1" applyFont="1" applyFill="1" applyBorder="1" applyAlignment="1" applyProtection="1">
      <alignment horizontal="center" wrapText="1"/>
      <protection locked="0"/>
    </xf>
    <xf numFmtId="165" fontId="40" fillId="24" borderId="45" xfId="0" applyNumberFormat="1" applyFont="1" applyFill="1" applyBorder="1" applyProtection="1"/>
    <xf numFmtId="165" fontId="40" fillId="24" borderId="44" xfId="0" applyNumberFormat="1" applyFont="1" applyFill="1" applyBorder="1" applyProtection="1"/>
    <xf numFmtId="165" fontId="28" fillId="24" borderId="44" xfId="0" applyNumberFormat="1" applyFont="1" applyFill="1" applyBorder="1" applyProtection="1"/>
    <xf numFmtId="165" fontId="41" fillId="24" borderId="42" xfId="0" applyNumberFormat="1" applyFont="1" applyFill="1" applyBorder="1" applyProtection="1"/>
    <xf numFmtId="165" fontId="26" fillId="24" borderId="37" xfId="0" applyNumberFormat="1" applyFont="1" applyFill="1" applyBorder="1" applyProtection="1"/>
    <xf numFmtId="165" fontId="26" fillId="24" borderId="37" xfId="0" applyNumberFormat="1" applyFont="1" applyFill="1" applyBorder="1" applyAlignment="1" applyProtection="1">
      <alignment horizontal="center"/>
    </xf>
    <xf numFmtId="165" fontId="26" fillId="27" borderId="24" xfId="0" applyNumberFormat="1" applyFont="1" applyFill="1" applyBorder="1" applyAlignment="1" applyProtection="1">
      <alignment horizontal="center" wrapText="1"/>
      <protection locked="0"/>
    </xf>
    <xf numFmtId="165" fontId="41" fillId="24" borderId="44" xfId="0" applyNumberFormat="1" applyFont="1" applyFill="1" applyBorder="1" applyProtection="1"/>
    <xf numFmtId="165" fontId="28" fillId="24" borderId="18" xfId="0" applyNumberFormat="1" applyFont="1" applyFill="1" applyBorder="1" applyAlignment="1" applyProtection="1">
      <alignment horizontal="center"/>
    </xf>
    <xf numFmtId="165" fontId="28" fillId="24" borderId="44" xfId="0" applyNumberFormat="1" applyFont="1" applyFill="1" applyBorder="1" applyAlignment="1" applyProtection="1">
      <alignment horizontal="center"/>
    </xf>
    <xf numFmtId="169" fontId="34" fillId="24" borderId="46" xfId="0" applyNumberFormat="1" applyFont="1" applyFill="1" applyBorder="1" applyAlignment="1" applyProtection="1">
      <alignment horizontal="center"/>
    </xf>
    <xf numFmtId="0" fontId="28" fillId="27" borderId="27" xfId="0" applyFont="1" applyFill="1" applyBorder="1" applyAlignment="1" applyProtection="1">
      <alignment horizontal="center"/>
    </xf>
    <xf numFmtId="0" fontId="28" fillId="27" borderId="37" xfId="0" applyFont="1" applyFill="1" applyBorder="1" applyAlignment="1" applyProtection="1">
      <alignment horizontal="center"/>
    </xf>
    <xf numFmtId="0" fontId="28" fillId="27" borderId="28" xfId="0" applyNumberFormat="1" applyFont="1" applyFill="1" applyBorder="1" applyAlignment="1" applyProtection="1">
      <alignment horizontal="center"/>
    </xf>
    <xf numFmtId="169" fontId="34" fillId="0" borderId="0" xfId="0" applyNumberFormat="1" applyFont="1" applyFill="1" applyBorder="1" applyAlignment="1" applyProtection="1">
      <alignment horizontal="center"/>
    </xf>
    <xf numFmtId="0" fontId="26" fillId="0" borderId="0" xfId="0" applyFont="1" applyFill="1" applyBorder="1" applyProtection="1"/>
    <xf numFmtId="0" fontId="0" fillId="0" borderId="0" xfId="0" applyFill="1" applyBorder="1" applyProtection="1"/>
    <xf numFmtId="165" fontId="28" fillId="24" borderId="45" xfId="0" applyNumberFormat="1" applyFont="1" applyFill="1" applyBorder="1" applyAlignment="1" applyProtection="1">
      <alignment wrapText="1"/>
    </xf>
    <xf numFmtId="168" fontId="30" fillId="24" borderId="45" xfId="0" applyNumberFormat="1" applyFont="1" applyFill="1" applyBorder="1" applyAlignment="1" applyProtection="1">
      <alignment horizontal="center" vertical="center" wrapText="1"/>
    </xf>
    <xf numFmtId="165" fontId="26" fillId="27" borderId="44" xfId="0" applyNumberFormat="1" applyFont="1" applyFill="1" applyBorder="1" applyAlignment="1" applyProtection="1">
      <alignment horizontal="center" wrapText="1"/>
      <protection locked="0"/>
    </xf>
    <xf numFmtId="165" fontId="28" fillId="24" borderId="0" xfId="0" applyNumberFormat="1" applyFont="1" applyFill="1" applyBorder="1" applyAlignment="1" applyProtection="1">
      <alignment wrapText="1"/>
    </xf>
    <xf numFmtId="165" fontId="28" fillId="24" borderId="0" xfId="0" applyNumberFormat="1" applyFont="1" applyFill="1" applyBorder="1" applyAlignment="1" applyProtection="1">
      <alignment horizontal="center" wrapText="1"/>
    </xf>
    <xf numFmtId="165" fontId="41" fillId="24" borderId="13" xfId="0" applyNumberFormat="1" applyFont="1" applyFill="1" applyBorder="1" applyProtection="1"/>
    <xf numFmtId="165" fontId="26" fillId="24" borderId="14" xfId="0" applyNumberFormat="1" applyFont="1" applyFill="1" applyBorder="1" applyAlignment="1" applyProtection="1">
      <alignment horizontal="center" wrapText="1"/>
    </xf>
    <xf numFmtId="165" fontId="26" fillId="27" borderId="44" xfId="0" applyNumberFormat="1" applyFont="1" applyFill="1" applyBorder="1" applyProtection="1">
      <protection locked="0"/>
    </xf>
    <xf numFmtId="165" fontId="41" fillId="24" borderId="0" xfId="0" applyNumberFormat="1" applyFont="1" applyFill="1" applyBorder="1" applyProtection="1"/>
    <xf numFmtId="0" fontId="28" fillId="24" borderId="42" xfId="0" applyFont="1" applyFill="1" applyBorder="1" applyProtection="1"/>
    <xf numFmtId="165" fontId="28" fillId="24" borderId="42" xfId="0" applyNumberFormat="1" applyFont="1" applyFill="1" applyBorder="1" applyAlignment="1" applyProtection="1">
      <alignment horizontal="center"/>
    </xf>
    <xf numFmtId="165" fontId="41" fillId="24" borderId="27" xfId="0" applyNumberFormat="1" applyFont="1" applyFill="1" applyBorder="1" applyProtection="1"/>
    <xf numFmtId="0" fontId="26" fillId="0" borderId="0" xfId="0" applyFont="1" applyAlignment="1" applyProtection="1">
      <alignment horizontal="center"/>
    </xf>
    <xf numFmtId="165" fontId="7" fillId="0" borderId="0" xfId="40" applyNumberFormat="1"/>
    <xf numFmtId="168" fontId="26" fillId="27" borderId="45" xfId="0" applyNumberFormat="1" applyFont="1" applyFill="1" applyBorder="1" applyAlignment="1" applyProtection="1">
      <alignment horizontal="center"/>
      <protection locked="0"/>
    </xf>
    <xf numFmtId="9" fontId="26" fillId="27" borderId="13" xfId="0" applyNumberFormat="1" applyFont="1" applyFill="1" applyBorder="1" applyAlignment="1" applyProtection="1">
      <alignment horizontal="center"/>
      <protection locked="0"/>
    </xf>
    <xf numFmtId="9" fontId="26" fillId="27" borderId="43" xfId="0" applyNumberFormat="1" applyFont="1" applyFill="1" applyBorder="1" applyAlignment="1" applyProtection="1">
      <alignment horizontal="center"/>
      <protection locked="0"/>
    </xf>
    <xf numFmtId="9" fontId="26" fillId="24" borderId="24" xfId="0" applyNumberFormat="1" applyFont="1" applyFill="1" applyBorder="1" applyAlignment="1" applyProtection="1">
      <alignment horizontal="center"/>
    </xf>
    <xf numFmtId="9" fontId="26" fillId="27" borderId="23" xfId="0" applyNumberFormat="1" applyFont="1" applyFill="1" applyBorder="1" applyAlignment="1" applyProtection="1">
      <alignment horizontal="center"/>
      <protection locked="0"/>
    </xf>
    <xf numFmtId="9" fontId="26" fillId="27" borderId="45" xfId="0" applyNumberFormat="1" applyFont="1" applyFill="1" applyBorder="1" applyAlignment="1" applyProtection="1">
      <alignment horizontal="center"/>
      <protection locked="0"/>
    </xf>
    <xf numFmtId="9" fontId="26" fillId="27" borderId="17" xfId="0" applyNumberFormat="1" applyFont="1" applyFill="1" applyBorder="1" applyAlignment="1" applyProtection="1">
      <alignment horizontal="center"/>
      <protection locked="0"/>
    </xf>
    <xf numFmtId="9" fontId="26" fillId="27" borderId="44" xfId="0" applyNumberFormat="1" applyFont="1" applyFill="1" applyBorder="1" applyAlignment="1" applyProtection="1">
      <alignment horizontal="center"/>
      <protection locked="0"/>
    </xf>
    <xf numFmtId="9" fontId="26" fillId="24" borderId="18" xfId="0" applyNumberFormat="1" applyFont="1" applyFill="1" applyBorder="1" applyAlignment="1" applyProtection="1">
      <alignment horizontal="center"/>
    </xf>
    <xf numFmtId="168" fontId="26" fillId="27" borderId="44" xfId="0" applyNumberFormat="1" applyFont="1" applyFill="1" applyBorder="1" applyAlignment="1" applyProtection="1">
      <alignment horizontal="center"/>
      <protection locked="0"/>
    </xf>
    <xf numFmtId="170" fontId="26" fillId="27" borderId="44" xfId="0" applyNumberFormat="1" applyFont="1" applyFill="1" applyBorder="1" applyAlignment="1" applyProtection="1">
      <alignment horizontal="center"/>
      <protection locked="0"/>
    </xf>
    <xf numFmtId="168" fontId="28" fillId="0" borderId="45" xfId="0" applyNumberFormat="1" applyFont="1" applyFill="1" applyBorder="1" applyAlignment="1" applyProtection="1">
      <alignment horizontal="center"/>
      <protection locked="0"/>
    </xf>
    <xf numFmtId="168" fontId="28" fillId="0" borderId="45" xfId="0" applyNumberFormat="1" applyFont="1" applyFill="1" applyBorder="1" applyAlignment="1" applyProtection="1">
      <alignment horizontal="center"/>
    </xf>
    <xf numFmtId="168" fontId="28" fillId="0" borderId="42" xfId="0" applyNumberFormat="1" applyFont="1" applyFill="1" applyBorder="1" applyAlignment="1" applyProtection="1">
      <alignment horizontal="center"/>
      <protection locked="0"/>
    </xf>
    <xf numFmtId="168" fontId="28" fillId="0" borderId="42" xfId="0" applyNumberFormat="1" applyFont="1" applyFill="1" applyBorder="1" applyAlignment="1" applyProtection="1">
      <alignment horizontal="center"/>
    </xf>
    <xf numFmtId="165" fontId="26" fillId="0" borderId="45" xfId="0" applyNumberFormat="1" applyFont="1" applyFill="1" applyBorder="1" applyAlignment="1" applyProtection="1">
      <alignment horizontal="center"/>
      <protection locked="0"/>
    </xf>
    <xf numFmtId="165" fontId="26" fillId="0" borderId="0" xfId="0" applyNumberFormat="1" applyFont="1" applyFill="1" applyBorder="1" applyAlignment="1" applyProtection="1">
      <alignment horizontal="center"/>
      <protection locked="0"/>
    </xf>
    <xf numFmtId="3" fontId="26" fillId="0" borderId="45" xfId="0" applyNumberFormat="1" applyFont="1" applyFill="1" applyBorder="1" applyAlignment="1" applyProtection="1">
      <alignment horizontal="center" wrapText="1"/>
      <protection locked="0"/>
    </xf>
    <xf numFmtId="170" fontId="26" fillId="0" borderId="45" xfId="0" applyNumberFormat="1" applyFont="1" applyFill="1" applyBorder="1" applyAlignment="1" applyProtection="1">
      <alignment horizontal="center"/>
      <protection locked="0"/>
    </xf>
    <xf numFmtId="165" fontId="21" fillId="0" borderId="24" xfId="40" applyNumberFormat="1" applyFont="1" applyFill="1" applyBorder="1" applyAlignment="1">
      <alignment horizontal="right"/>
    </xf>
    <xf numFmtId="165" fontId="20" fillId="0" borderId="12" xfId="40" applyNumberFormat="1" applyFont="1" applyFill="1" applyBorder="1" applyAlignment="1">
      <alignment horizontal="center"/>
    </xf>
    <xf numFmtId="165" fontId="20" fillId="0" borderId="13" xfId="40" applyNumberFormat="1" applyFont="1" applyFill="1" applyBorder="1" applyAlignment="1">
      <alignment horizontal="center"/>
    </xf>
    <xf numFmtId="165" fontId="20" fillId="0" borderId="14" xfId="40" applyNumberFormat="1" applyFont="1" applyFill="1" applyBorder="1" applyAlignment="1">
      <alignment horizontal="center"/>
    </xf>
    <xf numFmtId="165" fontId="20" fillId="0" borderId="15" xfId="40" applyNumberFormat="1" applyFont="1" applyFill="1" applyBorder="1" applyAlignment="1">
      <alignment horizontal="center"/>
    </xf>
    <xf numFmtId="0" fontId="7" fillId="0" borderId="0" xfId="40" applyFill="1"/>
    <xf numFmtId="165" fontId="20" fillId="0" borderId="24" xfId="40" applyNumberFormat="1" applyFont="1" applyBorder="1" applyAlignment="1"/>
    <xf numFmtId="10" fontId="7" fillId="0" borderId="0" xfId="43" applyNumberFormat="1" applyFont="1" applyAlignment="1">
      <alignment horizontal="center"/>
    </xf>
    <xf numFmtId="171" fontId="7" fillId="0" borderId="0" xfId="43" applyNumberFormat="1" applyFont="1" applyAlignment="1">
      <alignment horizontal="center"/>
    </xf>
    <xf numFmtId="0" fontId="20" fillId="0" borderId="0" xfId="40" quotePrefix="1" applyFont="1" applyBorder="1" applyAlignment="1">
      <alignment horizontal="left"/>
    </xf>
    <xf numFmtId="165" fontId="26" fillId="0" borderId="45" xfId="0" applyNumberFormat="1" applyFont="1" applyFill="1" applyBorder="1" applyProtection="1">
      <protection locked="0"/>
    </xf>
    <xf numFmtId="0" fontId="42" fillId="0" borderId="0" xfId="0" applyFont="1"/>
    <xf numFmtId="165" fontId="43" fillId="0" borderId="0" xfId="40" applyNumberFormat="1" applyFont="1" applyAlignment="1">
      <alignment horizontal="center"/>
    </xf>
    <xf numFmtId="0" fontId="43" fillId="0" borderId="0" xfId="40" applyFont="1" applyAlignment="1">
      <alignment horizontal="center"/>
    </xf>
    <xf numFmtId="0" fontId="44" fillId="0" borderId="0" xfId="0" applyFont="1" applyFill="1" applyProtection="1"/>
    <xf numFmtId="165" fontId="21" fillId="0" borderId="23" xfId="40" applyNumberFormat="1" applyFont="1" applyBorder="1" applyAlignment="1">
      <alignment horizontal="right"/>
    </xf>
    <xf numFmtId="172" fontId="7" fillId="0" borderId="0" xfId="40" applyNumberFormat="1" applyBorder="1" applyAlignment="1">
      <alignment horizontal="right"/>
    </xf>
    <xf numFmtId="172" fontId="7" fillId="0" borderId="0" xfId="40" applyNumberFormat="1" applyAlignment="1">
      <alignment horizontal="center"/>
    </xf>
    <xf numFmtId="0" fontId="20" fillId="0" borderId="10" xfId="40" applyFont="1" applyFill="1" applyBorder="1" applyAlignment="1">
      <alignment horizontal="center"/>
    </xf>
    <xf numFmtId="0" fontId="20" fillId="0" borderId="11" xfId="40" applyFont="1" applyFill="1" applyBorder="1" applyAlignment="1">
      <alignment horizontal="center"/>
    </xf>
    <xf numFmtId="165" fontId="20" fillId="0" borderId="20" xfId="40" quotePrefix="1" applyNumberFormat="1" applyFont="1" applyFill="1" applyBorder="1" applyAlignment="1">
      <alignment horizontal="center"/>
    </xf>
    <xf numFmtId="165" fontId="20" fillId="0" borderId="11" xfId="40" applyNumberFormat="1" applyFont="1" applyFill="1" applyBorder="1" applyAlignment="1">
      <alignment horizontal="center"/>
    </xf>
    <xf numFmtId="165" fontId="7" fillId="0" borderId="11" xfId="40" applyNumberFormat="1" applyFill="1" applyBorder="1" applyAlignment="1">
      <alignment horizontal="center"/>
    </xf>
    <xf numFmtId="165" fontId="7" fillId="0" borderId="20" xfId="40" applyNumberFormat="1" applyFill="1" applyBorder="1" applyAlignment="1">
      <alignment horizontal="center"/>
    </xf>
    <xf numFmtId="165" fontId="20" fillId="0" borderId="30" xfId="40" applyNumberFormat="1" applyFont="1" applyFill="1" applyBorder="1" applyAlignment="1">
      <alignment horizontal="center"/>
    </xf>
    <xf numFmtId="0" fontId="7" fillId="0" borderId="11" xfId="40" applyFill="1" applyBorder="1" applyAlignment="1">
      <alignment horizontal="center"/>
    </xf>
    <xf numFmtId="0" fontId="7" fillId="0" borderId="31" xfId="40" applyFill="1" applyBorder="1" applyAlignment="1">
      <alignment horizontal="center"/>
    </xf>
    <xf numFmtId="0" fontId="7" fillId="0" borderId="11" xfId="40" applyFill="1" applyBorder="1"/>
    <xf numFmtId="0" fontId="7" fillId="0" borderId="31" xfId="40" applyFill="1" applyBorder="1"/>
    <xf numFmtId="165" fontId="7" fillId="0" borderId="0" xfId="40" applyNumberFormat="1" applyFill="1" applyBorder="1" applyAlignment="1">
      <alignment horizontal="center"/>
    </xf>
    <xf numFmtId="0" fontId="28" fillId="27" borderId="37" xfId="0" applyNumberFormat="1" applyFont="1" applyFill="1" applyBorder="1" applyAlignment="1" applyProtection="1">
      <alignment horizontal="center"/>
    </xf>
    <xf numFmtId="49" fontId="28" fillId="27" borderId="37" xfId="0" applyNumberFormat="1" applyFont="1" applyFill="1" applyBorder="1" applyAlignment="1" applyProtection="1">
      <alignment horizontal="center"/>
    </xf>
    <xf numFmtId="165" fontId="22" fillId="0" borderId="11" xfId="40" applyNumberFormat="1" applyFont="1" applyFill="1" applyBorder="1" applyAlignment="1">
      <alignment horizontal="center"/>
    </xf>
    <xf numFmtId="165" fontId="7" fillId="0" borderId="0" xfId="40" applyNumberFormat="1" applyFill="1"/>
    <xf numFmtId="165" fontId="20" fillId="0" borderId="18" xfId="40" applyNumberFormat="1" applyFont="1" applyBorder="1" applyAlignment="1">
      <alignment horizontal="right"/>
    </xf>
    <xf numFmtId="165" fontId="22" fillId="0" borderId="0" xfId="40" applyNumberFormat="1" applyFont="1" applyBorder="1" applyAlignment="1">
      <alignment horizontal="right"/>
    </xf>
    <xf numFmtId="165" fontId="22" fillId="0" borderId="21" xfId="40" applyNumberFormat="1" applyFont="1" applyBorder="1" applyAlignment="1">
      <alignment horizontal="right"/>
    </xf>
    <xf numFmtId="0" fontId="7" fillId="0" borderId="0" xfId="40" applyFont="1"/>
    <xf numFmtId="165" fontId="45" fillId="0" borderId="24" xfId="40" applyNumberFormat="1" applyFont="1" applyBorder="1" applyAlignment="1">
      <alignment horizontal="right"/>
    </xf>
    <xf numFmtId="165" fontId="22" fillId="0" borderId="24" xfId="40" applyNumberFormat="1" applyFont="1" applyFill="1" applyBorder="1" applyAlignment="1">
      <alignment horizontal="right"/>
    </xf>
    <xf numFmtId="165" fontId="20" fillId="0" borderId="41" xfId="40" applyNumberFormat="1" applyFont="1" applyBorder="1" applyAlignment="1">
      <alignment horizontal="right"/>
    </xf>
    <xf numFmtId="165" fontId="7" fillId="0" borderId="41" xfId="40" applyNumberFormat="1" applyBorder="1" applyAlignment="1">
      <alignment horizontal="right"/>
    </xf>
    <xf numFmtId="165" fontId="7" fillId="0" borderId="13" xfId="40" applyNumberFormat="1" applyBorder="1" applyAlignment="1">
      <alignment horizontal="right"/>
    </xf>
    <xf numFmtId="165" fontId="21" fillId="0" borderId="41" xfId="40" applyNumberFormat="1" applyFont="1" applyBorder="1" applyAlignment="1">
      <alignment horizontal="right"/>
    </xf>
    <xf numFmtId="165" fontId="7" fillId="0" borderId="11" xfId="40" applyNumberFormat="1" applyFont="1" applyFill="1" applyBorder="1" applyAlignment="1">
      <alignment horizontal="center"/>
    </xf>
    <xf numFmtId="165" fontId="20" fillId="0" borderId="26" xfId="40" applyNumberFormat="1" applyFont="1" applyBorder="1" applyAlignment="1">
      <alignment horizontal="center"/>
    </xf>
    <xf numFmtId="165" fontId="7" fillId="0" borderId="23" xfId="40" applyNumberFormat="1" applyFont="1" applyBorder="1" applyAlignment="1">
      <alignment horizontal="right"/>
    </xf>
    <xf numFmtId="165" fontId="7" fillId="0" borderId="24" xfId="40" applyNumberFormat="1" applyFont="1" applyBorder="1" applyAlignment="1">
      <alignment horizontal="right"/>
    </xf>
    <xf numFmtId="165" fontId="7" fillId="0" borderId="41" xfId="40" applyNumberFormat="1" applyFont="1" applyBorder="1" applyAlignment="1">
      <alignment horizontal="right"/>
    </xf>
    <xf numFmtId="165" fontId="7" fillId="0" borderId="17" xfId="40" applyNumberFormat="1" applyFont="1" applyBorder="1" applyAlignment="1">
      <alignment horizontal="right"/>
    </xf>
    <xf numFmtId="165" fontId="7" fillId="0" borderId="18" xfId="40" applyNumberFormat="1" applyFont="1" applyBorder="1" applyAlignment="1">
      <alignment horizontal="right"/>
    </xf>
    <xf numFmtId="165" fontId="7" fillId="0" borderId="0" xfId="40" applyNumberFormat="1" applyFont="1" applyBorder="1" applyAlignment="1">
      <alignment horizontal="right"/>
    </xf>
    <xf numFmtId="165" fontId="46" fillId="0" borderId="24" xfId="40" applyNumberFormat="1" applyFont="1" applyBorder="1" applyAlignment="1">
      <alignment horizontal="right"/>
    </xf>
    <xf numFmtId="165" fontId="20" fillId="0" borderId="19" xfId="40" applyNumberFormat="1" applyFont="1" applyBorder="1" applyAlignment="1">
      <alignment horizontal="right"/>
    </xf>
    <xf numFmtId="165" fontId="46" fillId="0" borderId="18" xfId="40" applyNumberFormat="1" applyFont="1" applyBorder="1" applyAlignment="1">
      <alignment horizontal="right"/>
    </xf>
    <xf numFmtId="165" fontId="21" fillId="0" borderId="11" xfId="40" applyNumberFormat="1" applyFont="1" applyBorder="1" applyAlignment="1">
      <alignment horizontal="center"/>
    </xf>
    <xf numFmtId="165" fontId="47" fillId="0" borderId="11" xfId="40" applyNumberFormat="1" applyFont="1" applyBorder="1" applyAlignment="1">
      <alignment horizontal="center"/>
    </xf>
    <xf numFmtId="165" fontId="7" fillId="0" borderId="11" xfId="40" applyNumberFormat="1" applyFont="1" applyBorder="1" applyAlignment="1">
      <alignment horizontal="center"/>
    </xf>
    <xf numFmtId="170" fontId="28" fillId="27" borderId="45" xfId="0" applyNumberFormat="1" applyFont="1" applyFill="1" applyBorder="1" applyAlignment="1" applyProtection="1">
      <alignment horizontal="center"/>
      <protection locked="0"/>
    </xf>
    <xf numFmtId="165" fontId="20" fillId="0" borderId="52" xfId="40" applyNumberFormat="1" applyFont="1" applyBorder="1" applyAlignment="1">
      <alignment horizontal="center"/>
    </xf>
    <xf numFmtId="165" fontId="20" fillId="0" borderId="53" xfId="40" applyNumberFormat="1" applyFont="1" applyBorder="1" applyAlignment="1">
      <alignment horizontal="center"/>
    </xf>
    <xf numFmtId="165" fontId="20" fillId="0" borderId="54" xfId="40" applyNumberFormat="1" applyFont="1" applyBorder="1" applyAlignment="1">
      <alignment horizontal="center"/>
    </xf>
    <xf numFmtId="0" fontId="30" fillId="25" borderId="52" xfId="0" applyFont="1" applyFill="1" applyBorder="1" applyAlignment="1" applyProtection="1">
      <alignment horizontal="center"/>
    </xf>
    <xf numFmtId="0" fontId="30" fillId="25" borderId="53" xfId="0" applyFont="1" applyFill="1" applyBorder="1" applyAlignment="1" applyProtection="1">
      <alignment horizontal="center"/>
    </xf>
    <xf numFmtId="0" fontId="0" fillId="0" borderId="53" xfId="0" applyBorder="1" applyAlignment="1">
      <alignment horizontal="center"/>
    </xf>
    <xf numFmtId="0" fontId="0" fillId="0" borderId="54" xfId="0" applyBorder="1" applyAlignment="1">
      <alignment horizontal="center"/>
    </xf>
    <xf numFmtId="165" fontId="20" fillId="0" borderId="52" xfId="40" applyNumberFormat="1" applyFont="1" applyFill="1" applyBorder="1" applyAlignment="1">
      <alignment horizontal="center"/>
    </xf>
    <xf numFmtId="165" fontId="20" fillId="0" borderId="53" xfId="40" applyNumberFormat="1" applyFont="1" applyFill="1" applyBorder="1" applyAlignment="1">
      <alignment horizontal="center"/>
    </xf>
    <xf numFmtId="165" fontId="20" fillId="0" borderId="54" xfId="40" applyNumberFormat="1" applyFont="1" applyFill="1" applyBorder="1" applyAlignment="1">
      <alignment horizontal="center"/>
    </xf>
    <xf numFmtId="165" fontId="20" fillId="0" borderId="52" xfId="40" quotePrefix="1" applyNumberFormat="1" applyFont="1" applyBorder="1" applyAlignment="1">
      <alignment horizontal="center"/>
    </xf>
    <xf numFmtId="0" fontId="30" fillId="25" borderId="17" xfId="0" applyFont="1" applyFill="1" applyBorder="1" applyAlignment="1" applyProtection="1">
      <alignment horizontal="center" vertical="center" wrapText="1"/>
    </xf>
    <xf numFmtId="165" fontId="7" fillId="0" borderId="18" xfId="40" applyNumberFormat="1" applyBorder="1" applyAlignment="1">
      <alignment horizontal="center" vertical="center" wrapText="1"/>
    </xf>
    <xf numFmtId="0" fontId="30" fillId="25" borderId="27" xfId="0" applyFont="1" applyFill="1" applyBorder="1" applyAlignment="1" applyProtection="1">
      <alignment horizontal="center" vertical="center" wrapText="1"/>
    </xf>
    <xf numFmtId="0" fontId="0" fillId="0" borderId="29" xfId="0" applyBorder="1" applyAlignment="1">
      <alignment horizontal="center"/>
    </xf>
    <xf numFmtId="0" fontId="0" fillId="0" borderId="19" xfId="0" applyBorder="1" applyAlignment="1">
      <alignment horizontal="center"/>
    </xf>
    <xf numFmtId="0" fontId="28" fillId="0" borderId="27" xfId="0" applyFont="1" applyFill="1" applyBorder="1" applyAlignment="1" applyProtection="1"/>
    <xf numFmtId="0" fontId="28" fillId="0" borderId="37" xfId="0" applyFont="1" applyFill="1" applyBorder="1" applyAlignment="1" applyProtection="1"/>
    <xf numFmtId="0" fontId="28" fillId="0" borderId="28" xfId="0" applyFont="1" applyFill="1" applyBorder="1" applyAlignment="1" applyProtection="1"/>
    <xf numFmtId="168" fontId="26" fillId="0" borderId="43" xfId="0" applyNumberFormat="1" applyFont="1" applyFill="1" applyBorder="1" applyAlignment="1" applyProtection="1">
      <alignment horizontal="center"/>
    </xf>
    <xf numFmtId="168" fontId="26" fillId="0" borderId="44" xfId="0" applyNumberFormat="1" applyFont="1" applyFill="1" applyBorder="1" applyAlignment="1" applyProtection="1">
      <alignment horizontal="center"/>
    </xf>
    <xf numFmtId="0" fontId="28" fillId="0" borderId="27" xfId="0" applyFont="1" applyFill="1" applyBorder="1" applyAlignment="1" applyProtection="1">
      <alignment horizontal="center"/>
    </xf>
    <xf numFmtId="0" fontId="28" fillId="0" borderId="37" xfId="0" applyFont="1" applyFill="1" applyBorder="1" applyAlignment="1" applyProtection="1">
      <alignment horizontal="center"/>
    </xf>
    <xf numFmtId="0" fontId="28" fillId="0" borderId="28" xfId="0" applyFont="1" applyFill="1" applyBorder="1" applyAlignment="1" applyProtection="1">
      <alignment horizontal="center"/>
    </xf>
    <xf numFmtId="0" fontId="0" fillId="0" borderId="43" xfId="0" applyFill="1" applyBorder="1" applyAlignment="1" applyProtection="1">
      <alignment horizontal="center"/>
    </xf>
    <xf numFmtId="0" fontId="0" fillId="0" borderId="44" xfId="0" applyFill="1" applyBorder="1" applyAlignment="1" applyProtection="1">
      <alignment horizontal="center"/>
    </xf>
    <xf numFmtId="0" fontId="28" fillId="0" borderId="17" xfId="0" applyFont="1" applyFill="1" applyBorder="1" applyAlignment="1" applyProtection="1"/>
    <xf numFmtId="0" fontId="28" fillId="0" borderId="25" xfId="0" applyFont="1" applyFill="1" applyBorder="1" applyAlignment="1" applyProtection="1"/>
    <xf numFmtId="0" fontId="28" fillId="0" borderId="18" xfId="0" applyFont="1" applyFill="1" applyBorder="1" applyAlignment="1" applyProtection="1"/>
    <xf numFmtId="0" fontId="26" fillId="0" borderId="13" xfId="0" applyFont="1" applyFill="1" applyBorder="1" applyAlignment="1" applyProtection="1"/>
    <xf numFmtId="0" fontId="26" fillId="0" borderId="55" xfId="0" applyFont="1" applyFill="1" applyBorder="1" applyAlignment="1" applyProtection="1"/>
    <xf numFmtId="0" fontId="26" fillId="0" borderId="14" xfId="0" applyFont="1" applyFill="1" applyBorder="1" applyAlignment="1" applyProtection="1"/>
    <xf numFmtId="49" fontId="28" fillId="26" borderId="27" xfId="0" applyNumberFormat="1" applyFont="1" applyFill="1" applyBorder="1" applyAlignment="1" applyProtection="1">
      <alignment horizontal="center"/>
    </xf>
    <xf numFmtId="49" fontId="28" fillId="26" borderId="37" xfId="0" applyNumberFormat="1" applyFont="1" applyFill="1" applyBorder="1" applyAlignment="1" applyProtection="1">
      <alignment horizontal="center"/>
    </xf>
    <xf numFmtId="49" fontId="28" fillId="26" borderId="28" xfId="0" applyNumberFormat="1" applyFont="1" applyFill="1" applyBorder="1" applyAlignment="1" applyProtection="1">
      <alignment horizontal="center"/>
    </xf>
    <xf numFmtId="0" fontId="30" fillId="25" borderId="13" xfId="0" applyFont="1" applyFill="1" applyBorder="1" applyAlignment="1" applyProtection="1">
      <alignment horizontal="center" vertical="center"/>
    </xf>
    <xf numFmtId="0" fontId="30" fillId="25" borderId="55" xfId="0" applyFont="1" applyFill="1" applyBorder="1" applyAlignment="1" applyProtection="1">
      <alignment horizontal="center" vertical="center"/>
    </xf>
    <xf numFmtId="0" fontId="30" fillId="25" borderId="14" xfId="0" applyFont="1" applyFill="1" applyBorder="1" applyAlignment="1" applyProtection="1">
      <alignment horizontal="center" vertical="center"/>
    </xf>
    <xf numFmtId="0" fontId="30" fillId="25" borderId="17" xfId="0" applyFont="1" applyFill="1" applyBorder="1" applyAlignment="1" applyProtection="1">
      <alignment horizontal="center" vertical="center"/>
    </xf>
    <xf numFmtId="0" fontId="30" fillId="25" borderId="25" xfId="0" applyFont="1" applyFill="1" applyBorder="1" applyAlignment="1" applyProtection="1">
      <alignment horizontal="center" vertical="center"/>
    </xf>
    <xf numFmtId="0" fontId="30" fillId="25" borderId="18" xfId="0" applyFont="1" applyFill="1" applyBorder="1" applyAlignment="1" applyProtection="1">
      <alignment horizontal="center" vertical="center"/>
    </xf>
    <xf numFmtId="0" fontId="30" fillId="25" borderId="27" xfId="0" applyFont="1" applyFill="1" applyBorder="1" applyAlignment="1" applyProtection="1">
      <alignment horizontal="center"/>
    </xf>
    <xf numFmtId="0" fontId="30" fillId="25" borderId="37" xfId="0" applyFont="1" applyFill="1" applyBorder="1" applyAlignment="1" applyProtection="1">
      <alignment horizontal="center"/>
    </xf>
    <xf numFmtId="0" fontId="30" fillId="25" borderId="28" xfId="0" applyFont="1" applyFill="1" applyBorder="1" applyAlignment="1" applyProtection="1">
      <alignment horizontal="center"/>
    </xf>
    <xf numFmtId="17" fontId="28" fillId="26" borderId="27" xfId="0" applyNumberFormat="1" applyFont="1" applyFill="1" applyBorder="1" applyAlignment="1" applyProtection="1">
      <alignment horizontal="center"/>
    </xf>
    <xf numFmtId="17" fontId="28" fillId="26" borderId="37" xfId="0" applyNumberFormat="1" applyFont="1" applyFill="1" applyBorder="1" applyAlignment="1" applyProtection="1">
      <alignment horizontal="center"/>
    </xf>
    <xf numFmtId="17" fontId="28" fillId="26" borderId="28" xfId="0" applyNumberFormat="1" applyFont="1" applyFill="1" applyBorder="1" applyAlignment="1" applyProtection="1">
      <alignment horizontal="center"/>
    </xf>
    <xf numFmtId="165" fontId="30" fillId="25" borderId="43" xfId="0" applyNumberFormat="1" applyFont="1" applyFill="1" applyBorder="1" applyAlignment="1" applyProtection="1">
      <alignment horizontal="center" vertical="center" wrapText="1"/>
    </xf>
    <xf numFmtId="165" fontId="30" fillId="25" borderId="44" xfId="0" applyNumberFormat="1" applyFont="1" applyFill="1" applyBorder="1" applyAlignment="1" applyProtection="1">
      <alignment horizontal="center" vertical="center" wrapText="1"/>
    </xf>
    <xf numFmtId="168" fontId="30" fillId="25" borderId="42" xfId="0" applyNumberFormat="1" applyFont="1" applyFill="1" applyBorder="1" applyAlignment="1" applyProtection="1">
      <alignment horizontal="center"/>
    </xf>
    <xf numFmtId="165" fontId="28" fillId="24" borderId="37" xfId="0" applyNumberFormat="1" applyFont="1" applyFill="1" applyBorder="1" applyAlignment="1" applyProtection="1"/>
    <xf numFmtId="0" fontId="0" fillId="0" borderId="37" xfId="0" applyBorder="1" applyAlignment="1" applyProtection="1"/>
    <xf numFmtId="165" fontId="28" fillId="24" borderId="17" xfId="0" applyNumberFormat="1" applyFont="1" applyFill="1" applyBorder="1" applyAlignment="1" applyProtection="1"/>
    <xf numFmtId="0" fontId="0" fillId="0" borderId="28" xfId="0" applyBorder="1" applyAlignment="1" applyProtection="1"/>
    <xf numFmtId="165" fontId="28" fillId="24" borderId="27" xfId="0" applyNumberFormat="1" applyFont="1" applyFill="1" applyBorder="1" applyAlignment="1" applyProtection="1"/>
    <xf numFmtId="0" fontId="26" fillId="0" borderId="27" xfId="0" applyFont="1" applyFill="1" applyBorder="1" applyAlignment="1" applyProtection="1">
      <alignment wrapText="1"/>
    </xf>
    <xf numFmtId="0" fontId="0" fillId="0" borderId="37" xfId="0" applyBorder="1" applyAlignment="1" applyProtection="1">
      <alignment wrapText="1"/>
    </xf>
    <xf numFmtId="0" fontId="0" fillId="0" borderId="18" xfId="0" applyBorder="1" applyAlignment="1" applyProtection="1">
      <alignment wrapText="1"/>
    </xf>
    <xf numFmtId="0" fontId="0" fillId="0" borderId="17" xfId="0" applyBorder="1" applyAlignment="1" applyProtection="1"/>
    <xf numFmtId="0" fontId="0" fillId="0" borderId="25" xfId="0" applyBorder="1" applyAlignment="1" applyProtection="1"/>
    <xf numFmtId="0" fontId="0" fillId="0" borderId="18" xfId="0" applyBorder="1" applyAlignment="1" applyProtection="1"/>
  </cellXfs>
  <cellStyles count="47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Comma" xfId="28" builtinId="3"/>
    <cellStyle name="Comma0" xfId="29"/>
    <cellStyle name="Date" xfId="30"/>
    <cellStyle name="Explanatory Text" xfId="31" builtinId="53" customBuiltin="1"/>
    <cellStyle name="Good" xfId="32" builtinId="26" customBuiltin="1"/>
    <cellStyle name="Heading 1" xfId="33" builtinId="16" customBuiltin="1"/>
    <cellStyle name="Heading 2" xfId="34" builtinId="17" customBuiltin="1"/>
    <cellStyle name="Heading 3" xfId="35" builtinId="18" customBuiltin="1"/>
    <cellStyle name="Heading 4" xfId="36" builtinId="19" customBuiltin="1"/>
    <cellStyle name="Input" xfId="37" builtinId="20" customBuiltin="1"/>
    <cellStyle name="Linked Cell" xfId="38" builtinId="24" customBuiltin="1"/>
    <cellStyle name="Neutral" xfId="39" builtinId="28" customBuiltin="1"/>
    <cellStyle name="Normal" xfId="0" builtinId="0"/>
    <cellStyle name="Normal_New Board Analysis - Mar06" xfId="40"/>
    <cellStyle name="Note" xfId="41" builtinId="10" customBuiltin="1"/>
    <cellStyle name="Output" xfId="42" builtinId="21" customBuiltin="1"/>
    <cellStyle name="Percent" xfId="43" builtinId="5"/>
    <cellStyle name="Title" xfId="44" builtinId="15" customBuiltin="1"/>
    <cellStyle name="Total" xfId="45" builtinId="25" customBuiltin="1"/>
    <cellStyle name="Warning Text" xfId="46" builtinId="11" customBuiltin="1"/>
  </cellStyles>
  <dxfs count="3">
    <dxf>
      <fill>
        <patternFill>
          <bgColor indexed="14"/>
        </patternFill>
      </fill>
    </dxf>
    <dxf>
      <fill>
        <patternFill>
          <bgColor indexed="9"/>
        </patternFill>
      </fill>
    </dxf>
    <dxf>
      <fill>
        <patternFill>
          <bgColor indexed="14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externalLink" Target="externalLinks/externalLink7.xml"/><Relationship Id="rId18" Type="http://schemas.openxmlformats.org/officeDocument/2006/relationships/externalLink" Target="externalLinks/externalLink12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5.xml"/><Relationship Id="rId7" Type="http://schemas.openxmlformats.org/officeDocument/2006/relationships/externalLink" Target="externalLinks/externalLink1.xml"/><Relationship Id="rId12" Type="http://schemas.openxmlformats.org/officeDocument/2006/relationships/externalLink" Target="externalLinks/externalLink6.xml"/><Relationship Id="rId17" Type="http://schemas.openxmlformats.org/officeDocument/2006/relationships/externalLink" Target="externalLinks/externalLink11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0.xml"/><Relationship Id="rId20" Type="http://schemas.openxmlformats.org/officeDocument/2006/relationships/externalLink" Target="externalLinks/externalLink1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5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9.xml"/><Relationship Id="rId23" Type="http://schemas.openxmlformats.org/officeDocument/2006/relationships/styles" Target="styles.xml"/><Relationship Id="rId10" Type="http://schemas.openxmlformats.org/officeDocument/2006/relationships/externalLink" Target="externalLinks/externalLink4.xml"/><Relationship Id="rId19" Type="http://schemas.openxmlformats.org/officeDocument/2006/relationships/externalLink" Target="externalLinks/externalLink13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Relationship Id="rId14" Type="http://schemas.openxmlformats.org/officeDocument/2006/relationships/externalLink" Target="externalLinks/externalLink8.xml"/><Relationship Id="rId22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Budget%2008\Consol%2015-4-08\Corp%20-Higher%20Level%20Budget%20at%20P7%20-V1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DOCUME~1\dempsieb\LOCALS~1\Temp\windows\TEMP\!!20004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/JOAN/graphs%20-%20im%20jul%202003-%20billy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Excel%20Data\Acute%20Strategy\Beatson\Beatson%20Affordability%20V1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cimax\users\FINANCE\Budget02\act%202001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NWTC-MONTHEND\NWTC-Monthend-2016-17\Jan%2017\Corp\Board%20Report%20M10%20-%20Jan'17(New%20Non-Core).xlsx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NWTC-MONTHEND\NWTC-Monthend-2016-17\June%2016\Corp\Board%20Report%20M03%20-%20Jun'16(New%20Non-Core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NWTC-MONTHEND\NWTC-Monthend-2009-10\P12%20Mar10\Board%20Report%20Mar%2010%20-%20trend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cimax\users\FINANCE\RBIGGAR\doc\rev1-wd-2-ey%20191201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Finance%20Dept\Budget%20Management\Finance%20Director\Financial%20Management\Externals\Externals%200809\SA08%20Greater%20Glasgow%20&amp;%20Clyde%20HB\SA08B%20Cardiac%20Intervention\PCI\Sub%20Group\Appendix%20C%20-%20PPCI%20Costs%20(Final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AfC%20Cost%20Model\Cost%20Model%20v1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Budget%20o5\Current%2027-05-2005\hist%200405%20-%20consol%20-%20post%20mtgs%20-%20upload-SEHD%20fmt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DOCUME~1\dempsieb\LOCALS~1\Temp\FINANCE\BUDGET99\BUD_99\GLOBAL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Finance\Private\Stats%20-%20TM\OUTPATIENTS%2004-05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DOCUME~1\dempsieb\LOCALS~1\Temp\FINANCE\BDEMPSIE\FCAST\PRI\ARROW2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omparison at acc"/>
      <sheetName val="Summary 2.75% Pay Inc"/>
      <sheetName val="Summary 3% Pay Inc"/>
      <sheetName val="Summary 1st Draft (V2) 2.5% Pay"/>
      <sheetName val="Summary 1st draft"/>
      <sheetName val="Non Recurring List"/>
      <sheetName val="Budget Analysis"/>
      <sheetName val="Budget M7 V2"/>
      <sheetName val="BudgetM7"/>
      <sheetName val="EXP COA"/>
      <sheetName val="PAY CO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10.xml><?xml version="1.0" encoding="utf-8"?>
<externalLink xmlns="http://schemas.openxmlformats.org/spreadsheetml/2006/main">
  <externalBook xmlns:r="http://schemas.openxmlformats.org/officeDocument/2006/relationships" r:id="rId1">
    <sheetNames>
      <sheetName val="recept"/>
      <sheetName val="SUMMARY (2)"/>
      <sheetName val="SUMMARY"/>
      <sheetName val="admits99"/>
      <sheetName val="MASTER"/>
      <sheetName val="THEATRE (2)"/>
      <sheetName val="THEATRE"/>
      <sheetName val="THEATREstaff"/>
      <sheetName val="paedicu2"/>
      <sheetName val="paedstaff2"/>
      <sheetName val="PAEDMIX"/>
      <sheetName val="cos"/>
      <sheetName val="EAST"/>
      <sheetName val="HDUstaff"/>
      <sheetName val="WEST STAFF"/>
      <sheetName val="onc"/>
      <sheetName val="icu"/>
      <sheetName val="IC&amp;HD_Units"/>
      <sheetName val="hdu"/>
      <sheetName val="EAstaff"/>
      <sheetName val="PAEDICU"/>
      <sheetName val="PAED. MODEL - 3C"/>
      <sheetName val="PAEDSTAFF"/>
      <sheetName val="OPD STAFF"/>
      <sheetName val="opdstaff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</sheetDataSet>
  </externalBook>
</externalLink>
</file>

<file path=xl/externalLinks/externalLink11.xml><?xml version="1.0" encoding="utf-8"?>
<externalLink xmlns="http://schemas.openxmlformats.org/spreadsheetml/2006/main">
  <externalBook xmlns:r="http://schemas.openxmlformats.org/officeDocument/2006/relationships" r:id="rId1">
    <sheetNames>
      <sheetName val="Patients by Source"/>
      <sheetName val="Graph Apr-Jul"/>
      <sheetName val="Graph data"/>
      <sheetName val="Activity Analysis- by Specialty"/>
      <sheetName val="Radiology explanation"/>
      <sheetName val="#REF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12.xml><?xml version="1.0" encoding="utf-8"?>
<externalLink xmlns="http://schemas.openxmlformats.org/spreadsheetml/2006/main">
  <externalBook xmlns:r="http://schemas.openxmlformats.org/officeDocument/2006/relationships" r:id="rId1">
    <sheetNames>
      <sheetName val="Monitoring"/>
      <sheetName val="Table 1"/>
      <sheetName val="Table 2"/>
      <sheetName val="Table 3"/>
      <sheetName val="Table 4"/>
      <sheetName val="Table 5"/>
      <sheetName val="Table 6"/>
      <sheetName val="Parameters"/>
      <sheetName val="218 Beds inc Int"/>
      <sheetName val="Summary"/>
      <sheetName val="Bed Alteration"/>
      <sheetName val="Indices"/>
      <sheetName val="Financial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5">
          <cell r="C5">
            <v>3.5000000000000003E-2</v>
          </cell>
        </row>
      </sheetData>
      <sheetData sheetId="8"/>
      <sheetData sheetId="9"/>
      <sheetData sheetId="10"/>
      <sheetData sheetId="11"/>
      <sheetData sheetId="12"/>
    </sheetDataSet>
  </externalBook>
</externalLink>
</file>

<file path=xl/externalLinks/externalLink13.xml><?xml version="1.0" encoding="utf-8"?>
<externalLink xmlns="http://schemas.openxmlformats.org/spreadsheetml/2006/main">
  <externalBook xmlns:r="http://schemas.openxmlformats.org/officeDocument/2006/relationships" r:id="rId1">
    <sheetNames>
      <sheetName val="cos 2001 - 181201"/>
      <sheetName val="Sheet1 (4)"/>
      <sheetName val="cf 2001"/>
      <sheetName val="Sheet4"/>
      <sheetName val="Sheet3"/>
      <sheetName val="Sheet9"/>
      <sheetName val="Sheet2"/>
      <sheetName val="Sheet7"/>
      <sheetName val="Sheet6"/>
      <sheetName val="Sheet10"/>
      <sheetName val="Sheet8"/>
      <sheetName val="Sheet1"/>
      <sheetName val="Sheet1 (3)"/>
      <sheetName val="Sheet1 (2)"/>
      <sheetName val="ac's used"/>
      <sheetName val="ac's not in us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externalLinks/externalLink14.xml><?xml version="1.0" encoding="utf-8"?>
<externalLink xmlns="http://schemas.openxmlformats.org/spreadsheetml/2006/main">
  <externalBook xmlns:r="http://schemas.openxmlformats.org/officeDocument/2006/relationships" r:id="rId1">
    <sheetNames>
      <sheetName val="Summary"/>
      <sheetName val="Page 2 - Core Income "/>
      <sheetName val="Page 3 - Core Expenditure"/>
      <sheetName val="Page 4 - Non Core Income &amp; Exp"/>
      <sheetName val="Supplies Rework"/>
      <sheetName val="Summary-Old"/>
      <sheetName val="Tables"/>
      <sheetName val="Query1"/>
      <sheetName val="YTD-NewOrg+ Variance Matix (2)"/>
      <sheetName val="Lookup-New Structure"/>
      <sheetName val="Expenditure Codes Salaries"/>
      <sheetName val="Expenditure Codes ex Salari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31">
          <cell r="C31">
            <v>5346322.969999996</v>
          </cell>
          <cell r="G31">
            <v>52184097.540000007</v>
          </cell>
        </row>
      </sheetData>
      <sheetData sheetId="6" refreshError="1"/>
      <sheetData sheetId="7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15.xml><?xml version="1.0" encoding="utf-8"?>
<externalLink xmlns="http://schemas.openxmlformats.org/spreadsheetml/2006/main">
  <externalBook xmlns:r="http://schemas.openxmlformats.org/officeDocument/2006/relationships" r:id="rId1">
    <sheetNames>
      <sheetName val="Summary"/>
      <sheetName val="Page 2 - Core Income "/>
      <sheetName val="Page 3 - Core Expenditure"/>
      <sheetName val="Page 4 - Non Core Income &amp; Exp"/>
      <sheetName val="Supplies Rework"/>
      <sheetName val="Summary-Old"/>
      <sheetName val="Tables"/>
      <sheetName val="Sheet1"/>
      <sheetName val="Query1"/>
      <sheetName val="YTD-NewOrg+ Variance Matix (2)"/>
      <sheetName val="Lookup-New Structure"/>
      <sheetName val="Expenditure Codes Salaries"/>
      <sheetName val="Expenditure Codes ex Salaries"/>
    </sheetNames>
    <sheetDataSet>
      <sheetData sheetId="0"/>
      <sheetData sheetId="1"/>
      <sheetData sheetId="2"/>
      <sheetData sheetId="3"/>
      <sheetData sheetId="4"/>
      <sheetData sheetId="5">
        <row r="31">
          <cell r="C31">
            <v>4588771.4199999981</v>
          </cell>
          <cell r="M31">
            <v>67309049.280000016</v>
          </cell>
        </row>
      </sheetData>
      <sheetData sheetId="6"/>
      <sheetData sheetId="7"/>
      <sheetData sheetId="8">
        <row r="5417">
          <cell r="G5417">
            <v>-4619189.4000000004</v>
          </cell>
        </row>
      </sheetData>
      <sheetData sheetId="9"/>
      <sheetData sheetId="10"/>
      <sheetData sheetId="11"/>
      <sheetData sheetId="12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Theatr DS _ Act"/>
      <sheetName val="Hotel"/>
      <sheetName val="Print ranges"/>
      <sheetName val="Sheet2"/>
      <sheetName val="Supps Clin"/>
      <sheetName val="Sheet8"/>
      <sheetName val="Sheet7"/>
      <sheetName val="Sheet6"/>
      <sheetName val="Sheet5"/>
      <sheetName val="Variance Trend  09-10 @ Per -09"/>
      <sheetName val="Actuals £000"/>
      <sheetName val="non Clin supps Variance trend"/>
      <sheetName val="Exceptional Items"/>
      <sheetName val="Query1"/>
      <sheetName val="Pay Non Pay Tabl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GP P&amp;L SUM"/>
      <sheetName val="GP CF SUM"/>
      <sheetName val="P&amp;L-hsp"/>
      <sheetName val="cfhsp  2002"/>
      <sheetName val="BUD-HTL-02"/>
      <sheetName val="MediParc"/>
      <sheetName val="REV IM 131201"/>
      <sheetName val="Phase rev"/>
      <sheetName val="Phase"/>
      <sheetName val="Payroll for cflo"/>
      <sheetName val="Med"/>
      <sheetName val="Non med"/>
      <sheetName val="Lease"/>
      <sheetName val="Lease-2"/>
      <sheetName val="Depn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Summary"/>
      <sheetName val="Data"/>
      <sheetName val="Option 1"/>
      <sheetName val="Option 2"/>
      <sheetName val="Option 2 less D&amp;G"/>
      <sheetName val="Option 2 less D&amp;G &amp; FV"/>
    </sheetNames>
    <sheetDataSet>
      <sheetData sheetId="0" refreshError="1"/>
      <sheetData sheetId="1" refreshError="1">
        <row r="4">
          <cell r="A4">
            <v>31599</v>
          </cell>
        </row>
        <row r="5">
          <cell r="A5">
            <v>24195</v>
          </cell>
        </row>
      </sheetData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Formulae"/>
      <sheetName val="Salary Tables"/>
      <sheetName val="Scales"/>
      <sheetName val="Constants"/>
      <sheetName val="Allowances"/>
      <sheetName val="Absence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Sheet2"/>
      <sheetName val="Sheet4"/>
      <sheetName val="Sheet9"/>
      <sheetName val="Sheet8"/>
      <sheetName val="Detail - Final"/>
      <sheetName val="Budget Reserve"/>
      <sheetName val="BUD_0506-HTL"/>
      <sheetName val="Income Summ 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 refreshError="1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CatPatDays"/>
      <sheetName val="FORM"/>
      <sheetName val="GLOBAL"/>
    </sheetNames>
    <sheetDataSet>
      <sheetData sheetId="0"/>
      <sheetData sheetId="1"/>
      <sheetData sheetId="2" refreshError="1">
        <row r="2">
          <cell r="R2" t="str">
            <v>102</v>
          </cell>
          <cell r="S2" t="str">
            <v>NURSING UNIT 3 EAST</v>
          </cell>
          <cell r="T2" t="str">
            <v>David Lyle</v>
          </cell>
        </row>
        <row r="3">
          <cell r="R3" t="str">
            <v>103</v>
          </cell>
          <cell r="S3" t="str">
            <v>NURSING UNIT 3 WEST</v>
          </cell>
          <cell r="T3" t="str">
            <v>Jayne Henry</v>
          </cell>
        </row>
        <row r="4">
          <cell r="R4" t="str">
            <v>104</v>
          </cell>
          <cell r="S4" t="str">
            <v>PAEDIATRIC NURSING UNIT</v>
          </cell>
          <cell r="T4" t="str">
            <v>Diana Fergusn</v>
          </cell>
        </row>
        <row r="5">
          <cell r="R5" t="str">
            <v>124</v>
          </cell>
          <cell r="S5" t="str">
            <v>I.C.U. 3A</v>
          </cell>
          <cell r="T5" t="str">
            <v>Joanna Martin</v>
          </cell>
        </row>
        <row r="6">
          <cell r="R6" t="str">
            <v>142</v>
          </cell>
          <cell r="S6" t="str">
            <v>OUTPATIENT CLINICS</v>
          </cell>
          <cell r="T6" t="str">
            <v>Shona Chaib</v>
          </cell>
        </row>
        <row r="7">
          <cell r="R7" t="str">
            <v>143</v>
          </cell>
          <cell r="S7" t="str">
            <v>HAEMODIALYSIS</v>
          </cell>
          <cell r="T7" t="str">
            <v>Joanna Martin</v>
          </cell>
        </row>
        <row r="8">
          <cell r="R8" t="str">
            <v>155</v>
          </cell>
          <cell r="S8" t="str">
            <v>OPERATING THEATRE(S)</v>
          </cell>
          <cell r="T8" t="str">
            <v>Lynn Graham</v>
          </cell>
        </row>
        <row r="9">
          <cell r="B9" t="str">
            <v>E</v>
          </cell>
          <cell r="C9">
            <v>8.3333333333333329E-2</v>
          </cell>
          <cell r="D9">
            <v>8.3333333333333329E-2</v>
          </cell>
          <cell r="E9">
            <v>8.3333333333333329E-2</v>
          </cell>
          <cell r="F9">
            <v>8.3333333333333329E-2</v>
          </cell>
          <cell r="G9">
            <v>8.3333333333333329E-2</v>
          </cell>
          <cell r="H9">
            <v>8.3333333333333329E-2</v>
          </cell>
          <cell r="I9">
            <v>8.3333333333333329E-2</v>
          </cell>
          <cell r="J9">
            <v>8.3333333333333329E-2</v>
          </cell>
          <cell r="K9">
            <v>8.3333333333333329E-2</v>
          </cell>
          <cell r="L9">
            <v>8.3333333333333329E-2</v>
          </cell>
          <cell r="M9">
            <v>8.3333333333333329E-2</v>
          </cell>
          <cell r="N9">
            <v>8.3333333333333329E-2</v>
          </cell>
          <cell r="O9">
            <v>1</v>
          </cell>
          <cell r="R9" t="str">
            <v>157</v>
          </cell>
          <cell r="S9" t="str">
            <v>EYE SUITE</v>
          </cell>
          <cell r="T9" t="str">
            <v>Dr Pradeep Ramaya</v>
          </cell>
        </row>
        <row r="10">
          <cell r="B10" t="str">
            <v>IP</v>
          </cell>
          <cell r="C10">
            <v>6.1473237943826177E-2</v>
          </cell>
          <cell r="D10">
            <v>7.5251722310545846E-2</v>
          </cell>
          <cell r="E10">
            <v>8.2140964493905677E-2</v>
          </cell>
          <cell r="F10">
            <v>8.3200847906730255E-2</v>
          </cell>
          <cell r="G10">
            <v>8.7440381558028621E-2</v>
          </cell>
          <cell r="H10">
            <v>9.2209856915739269E-2</v>
          </cell>
          <cell r="I10">
            <v>9.8039215686274508E-2</v>
          </cell>
          <cell r="J10">
            <v>9.5389507154213043E-2</v>
          </cell>
          <cell r="K10">
            <v>9.1149973502914677E-2</v>
          </cell>
          <cell r="L10">
            <v>8.8500264970853212E-2</v>
          </cell>
          <cell r="M10">
            <v>7.9491255961844198E-2</v>
          </cell>
          <cell r="N10">
            <v>6.5712771595124536E-2</v>
          </cell>
          <cell r="O10">
            <v>0.99999999999999989</v>
          </cell>
          <cell r="R10" t="str">
            <v>200</v>
          </cell>
          <cell r="S10" t="str">
            <v>PHARMACY</v>
          </cell>
          <cell r="T10" t="str">
            <v>Shona Chaib</v>
          </cell>
        </row>
        <row r="11">
          <cell r="B11" t="str">
            <v>OP</v>
          </cell>
          <cell r="C11">
            <v>6.2700495771361914E-2</v>
          </cell>
          <cell r="D11">
            <v>7.5532225138524353E-2</v>
          </cell>
          <cell r="E11">
            <v>8.1364829396325458E-2</v>
          </cell>
          <cell r="F11">
            <v>8.2822980460775741E-2</v>
          </cell>
          <cell r="G11">
            <v>8.6905803441236509E-2</v>
          </cell>
          <cell r="H11">
            <v>9.1280256634587345E-2</v>
          </cell>
          <cell r="I11">
            <v>9.7404491105278504E-2</v>
          </cell>
          <cell r="J11">
            <v>9.5071449402158059E-2</v>
          </cell>
          <cell r="K11">
            <v>9.1280256634587345E-2</v>
          </cell>
          <cell r="L11">
            <v>8.7489063867016617E-2</v>
          </cell>
          <cell r="M11">
            <v>7.9615048118985121E-2</v>
          </cell>
          <cell r="N11">
            <v>6.8533100029163019E-2</v>
          </cell>
          <cell r="O11">
            <v>1</v>
          </cell>
          <cell r="R11" t="str">
            <v>220</v>
          </cell>
          <cell r="S11" t="str">
            <v>REHAB SERVICES</v>
          </cell>
          <cell r="T11" t="str">
            <v>Birgit Clark</v>
          </cell>
        </row>
        <row r="12">
          <cell r="B12" t="str">
            <v>QTR</v>
          </cell>
          <cell r="C12">
            <v>0.25</v>
          </cell>
          <cell r="D12">
            <v>0</v>
          </cell>
          <cell r="E12">
            <v>0</v>
          </cell>
          <cell r="F12">
            <v>0.25</v>
          </cell>
          <cell r="G12">
            <v>0</v>
          </cell>
          <cell r="H12">
            <v>0</v>
          </cell>
          <cell r="I12">
            <v>0.25</v>
          </cell>
          <cell r="J12">
            <v>0</v>
          </cell>
          <cell r="K12">
            <v>0</v>
          </cell>
          <cell r="L12">
            <v>0.25</v>
          </cell>
          <cell r="M12">
            <v>0</v>
          </cell>
          <cell r="N12">
            <v>0</v>
          </cell>
          <cell r="O12">
            <v>1</v>
          </cell>
          <cell r="R12" t="str">
            <v>230</v>
          </cell>
          <cell r="S12" t="str">
            <v>CLINICAL NUTRITION</v>
          </cell>
          <cell r="T12" t="str">
            <v>Maureen Nugent</v>
          </cell>
        </row>
        <row r="13">
          <cell r="B13" t="str">
            <v>BI</v>
          </cell>
          <cell r="C13">
            <v>0.16600000000000001</v>
          </cell>
          <cell r="D13">
            <v>0</v>
          </cell>
          <cell r="E13">
            <v>0.16600000000000001</v>
          </cell>
          <cell r="F13">
            <v>0</v>
          </cell>
          <cell r="G13">
            <v>0.16600000000000001</v>
          </cell>
          <cell r="H13">
            <v>0</v>
          </cell>
          <cell r="I13">
            <v>0.16600000000000001</v>
          </cell>
          <cell r="J13">
            <v>0</v>
          </cell>
          <cell r="K13">
            <v>0.16600000000000001</v>
          </cell>
          <cell r="L13">
            <v>0</v>
          </cell>
          <cell r="M13">
            <v>0.16600000000000001</v>
          </cell>
          <cell r="N13">
            <v>0</v>
          </cell>
          <cell r="O13">
            <v>0.99600000000000011</v>
          </cell>
          <cell r="R13" t="str">
            <v>240</v>
          </cell>
          <cell r="S13" t="str">
            <v>PERFUSION</v>
          </cell>
          <cell r="T13" t="str">
            <v>John Hughes</v>
          </cell>
        </row>
        <row r="14">
          <cell r="B14" t="str">
            <v>BI_2</v>
          </cell>
          <cell r="C14">
            <v>0</v>
          </cell>
          <cell r="D14">
            <v>0.16600000000000001</v>
          </cell>
          <cell r="E14">
            <v>0</v>
          </cell>
          <cell r="F14">
            <v>0.16600000000000001</v>
          </cell>
          <cell r="G14">
            <v>0</v>
          </cell>
          <cell r="H14">
            <v>0.16600000000000001</v>
          </cell>
          <cell r="I14">
            <v>0</v>
          </cell>
          <cell r="J14">
            <v>0.16600000000000001</v>
          </cell>
          <cell r="K14">
            <v>0</v>
          </cell>
          <cell r="L14">
            <v>0.16600000000000001</v>
          </cell>
          <cell r="M14">
            <v>0</v>
          </cell>
          <cell r="N14">
            <v>0.16600000000000001</v>
          </cell>
          <cell r="O14">
            <v>0.99600000000000011</v>
          </cell>
          <cell r="R14" t="str">
            <v>250</v>
          </cell>
          <cell r="S14" t="str">
            <v>INFECTION CONTROL</v>
          </cell>
          <cell r="T14" t="str">
            <v>Clare Kirkpatrick</v>
          </cell>
        </row>
        <row r="15">
          <cell r="B15" t="str">
            <v>V1</v>
          </cell>
          <cell r="C15">
            <v>0.83299999999999996</v>
          </cell>
          <cell r="D15">
            <v>1.4999999999999999E-2</v>
          </cell>
          <cell r="E15">
            <v>1.4999999999999999E-2</v>
          </cell>
          <cell r="F15">
            <v>1.4999999999999999E-2</v>
          </cell>
          <cell r="G15">
            <v>1.4999999999999999E-2</v>
          </cell>
          <cell r="H15">
            <v>1.4999999999999999E-2</v>
          </cell>
          <cell r="I15">
            <v>1.4999999999999999E-2</v>
          </cell>
          <cell r="J15">
            <v>1.4999999999999999E-2</v>
          </cell>
          <cell r="K15">
            <v>1.4999999999999999E-2</v>
          </cell>
          <cell r="L15">
            <v>1.4999999999999999E-2</v>
          </cell>
          <cell r="M15">
            <v>1.4999999999999999E-2</v>
          </cell>
          <cell r="N15">
            <v>1.4999999999999999E-2</v>
          </cell>
          <cell r="O15">
            <v>0.99800000000000011</v>
          </cell>
          <cell r="R15" t="str">
            <v>300</v>
          </cell>
          <cell r="S15" t="str">
            <v>RADIOLOGY ADMINISTRATION</v>
          </cell>
          <cell r="T15" t="str">
            <v>Colin Gibson</v>
          </cell>
        </row>
        <row r="16">
          <cell r="B16" t="str">
            <v>BIAN</v>
          </cell>
          <cell r="C16">
            <v>0.5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0.5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1</v>
          </cell>
          <cell r="R16" t="str">
            <v>301</v>
          </cell>
          <cell r="S16" t="str">
            <v>GENERAL DIAGNOSTIC SERVICES</v>
          </cell>
          <cell r="T16" t="str">
            <v>Colin Gibson</v>
          </cell>
        </row>
        <row r="17">
          <cell r="B17" t="str">
            <v>ICU</v>
          </cell>
          <cell r="C17">
            <v>6.0709413369713507E-2</v>
          </cell>
          <cell r="D17">
            <v>7.9126875852660303E-2</v>
          </cell>
          <cell r="E17">
            <v>9.0723055934515684E-2</v>
          </cell>
          <cell r="F17">
            <v>7.0259208731241474E-2</v>
          </cell>
          <cell r="G17">
            <v>9.0723055934515684E-2</v>
          </cell>
          <cell r="H17">
            <v>9.4133697135061395E-2</v>
          </cell>
          <cell r="I17">
            <v>0.10982264665757162</v>
          </cell>
          <cell r="J17">
            <v>9.6180081855388816E-2</v>
          </cell>
          <cell r="K17">
            <v>9.0723055934515684E-2</v>
          </cell>
          <cell r="L17">
            <v>7.9809004092769434E-2</v>
          </cell>
          <cell r="M17">
            <v>8.390177353342429E-2</v>
          </cell>
          <cell r="N17">
            <v>5.3888130968622099E-2</v>
          </cell>
          <cell r="O17">
            <v>1</v>
          </cell>
          <cell r="R17" t="str">
            <v>303</v>
          </cell>
          <cell r="S17" t="str">
            <v>COMPUTER TOMOGRAPHY</v>
          </cell>
          <cell r="T17" t="str">
            <v>Colin Gibson</v>
          </cell>
        </row>
        <row r="18">
          <cell r="B18" t="str">
            <v>jan_d</v>
          </cell>
          <cell r="C18">
            <v>0.16666666666666666</v>
          </cell>
          <cell r="D18">
            <v>0.16666666666666666</v>
          </cell>
          <cell r="E18">
            <v>0.16666666666666666</v>
          </cell>
          <cell r="F18">
            <v>0.16666666666666666</v>
          </cell>
          <cell r="G18">
            <v>0.16666666666666666</v>
          </cell>
          <cell r="H18">
            <v>0.16666666666666666</v>
          </cell>
          <cell r="O18">
            <v>0.99999999999999989</v>
          </cell>
          <cell r="R18" t="str">
            <v>304</v>
          </cell>
          <cell r="S18" t="str">
            <v>MAGNETIC RESONANCE IMAGING</v>
          </cell>
          <cell r="T18" t="str">
            <v>Colin Gibson</v>
          </cell>
        </row>
        <row r="19">
          <cell r="B19" t="str">
            <v>May</v>
          </cell>
          <cell r="C19">
            <v>0.33333333333333331</v>
          </cell>
          <cell r="D19">
            <v>0.33333333333333331</v>
          </cell>
          <cell r="E19">
            <v>0.33333333333333331</v>
          </cell>
          <cell r="G19">
            <v>1</v>
          </cell>
          <cell r="O19">
            <v>1</v>
          </cell>
          <cell r="R19" t="str">
            <v>305</v>
          </cell>
          <cell r="S19" t="str">
            <v>ULTRASOUND</v>
          </cell>
          <cell r="T19" t="str">
            <v>Colin Gibson</v>
          </cell>
        </row>
        <row r="20">
          <cell r="B20" t="str">
            <v>Q1</v>
          </cell>
          <cell r="C20">
            <v>0.33333333333333331</v>
          </cell>
          <cell r="D20">
            <v>0.33333333333333331</v>
          </cell>
          <cell r="E20">
            <v>0.33333333333333331</v>
          </cell>
          <cell r="F20">
            <v>8.2626519649420416E-2</v>
          </cell>
          <cell r="G20">
            <v>8.5383093016680803E-2</v>
          </cell>
          <cell r="H20">
            <v>0.11165300160211102</v>
          </cell>
          <cell r="I20">
            <v>9.009518424276694E-2</v>
          </cell>
          <cell r="J20">
            <v>0.1121713316369805</v>
          </cell>
          <cell r="K20">
            <v>8.6042785788332868E-2</v>
          </cell>
          <cell r="L20">
            <v>8.5430213928941665E-2</v>
          </cell>
          <cell r="M20">
            <v>5.8312128922815946E-2</v>
          </cell>
          <cell r="N20">
            <v>5.1456036188860618E-2</v>
          </cell>
          <cell r="O20">
            <v>1</v>
          </cell>
          <cell r="R20" t="str">
            <v>307</v>
          </cell>
          <cell r="S20" t="str">
            <v>CARDIAC CATH LABS</v>
          </cell>
          <cell r="T20" t="str">
            <v>Graham Johnstone</v>
          </cell>
        </row>
        <row r="21">
          <cell r="B21" t="str">
            <v>Drugs</v>
          </cell>
          <cell r="C21">
            <v>7.3579304495335035E-2</v>
          </cell>
          <cell r="D21">
            <v>7.9822825369899167E-2</v>
          </cell>
          <cell r="E21">
            <v>8.3427575157855052E-2</v>
          </cell>
          <cell r="F21">
            <v>8.2626519649420416E-2</v>
          </cell>
          <cell r="G21">
            <v>8.5383093016680803E-2</v>
          </cell>
          <cell r="H21">
            <v>0.11165300160211102</v>
          </cell>
          <cell r="I21">
            <v>9.009518424276694E-2</v>
          </cell>
          <cell r="J21">
            <v>0.1121713316369805</v>
          </cell>
          <cell r="K21">
            <v>8.6042785788332868E-2</v>
          </cell>
          <cell r="L21">
            <v>8.5430213928941665E-2</v>
          </cell>
          <cell r="M21">
            <v>5.8312128922815946E-2</v>
          </cell>
          <cell r="N21">
            <v>5.1456036188860618E-2</v>
          </cell>
          <cell r="O21">
            <v>1</v>
          </cell>
          <cell r="R21" t="str">
            <v>312</v>
          </cell>
          <cell r="S21" t="str">
            <v>NUCLEAR MEDICINE</v>
          </cell>
          <cell r="T21" t="str">
            <v>Colin Gibson</v>
          </cell>
        </row>
        <row r="22">
          <cell r="B22" t="str">
            <v>JAN</v>
          </cell>
          <cell r="C22">
            <v>1</v>
          </cell>
          <cell r="O22">
            <v>1</v>
          </cell>
          <cell r="R22" t="str">
            <v>315</v>
          </cell>
          <cell r="S22" t="str">
            <v>RADIATION ONCOLOGY</v>
          </cell>
          <cell r="T22" t="str">
            <v>Jean Mc Lellan</v>
          </cell>
        </row>
        <row r="23">
          <cell r="O23">
            <v>0</v>
          </cell>
          <cell r="R23" t="str">
            <v>320</v>
          </cell>
          <cell r="S23" t="str">
            <v>LABORATORY ADMINISTRATION</v>
          </cell>
          <cell r="T23" t="str">
            <v>Dr David Spence</v>
          </cell>
        </row>
        <row r="24">
          <cell r="O24">
            <v>0</v>
          </cell>
          <cell r="R24" t="str">
            <v>321</v>
          </cell>
          <cell r="S24" t="str">
            <v>BLOOD BANK</v>
          </cell>
          <cell r="T24" t="str">
            <v>Dr David Spence</v>
          </cell>
        </row>
        <row r="25">
          <cell r="O25">
            <v>0</v>
          </cell>
          <cell r="R25" t="str">
            <v>322</v>
          </cell>
          <cell r="S25" t="str">
            <v>HEMATOLOGY</v>
          </cell>
          <cell r="T25" t="str">
            <v>Dr David Spence</v>
          </cell>
        </row>
        <row r="26">
          <cell r="O26">
            <v>0</v>
          </cell>
          <cell r="R26" t="str">
            <v>323</v>
          </cell>
          <cell r="S26" t="str">
            <v>CHEMISTRY</v>
          </cell>
          <cell r="T26" t="str">
            <v>Dr David Spence</v>
          </cell>
        </row>
        <row r="27">
          <cell r="O27">
            <v>0</v>
          </cell>
          <cell r="R27" t="str">
            <v>324</v>
          </cell>
          <cell r="S27" t="str">
            <v>MICROBIOLOGY</v>
          </cell>
          <cell r="T27" t="str">
            <v>Dr David Spence</v>
          </cell>
        </row>
        <row r="28">
          <cell r="O28">
            <v>0</v>
          </cell>
          <cell r="R28" t="str">
            <v>340</v>
          </cell>
          <cell r="S28" t="str">
            <v>NON-INVASIVE CARDIOLOGY</v>
          </cell>
          <cell r="T28" t="str">
            <v>Grahame Johnstone</v>
          </cell>
        </row>
        <row r="29">
          <cell r="O29">
            <v>0</v>
          </cell>
          <cell r="R29" t="str">
            <v>355</v>
          </cell>
          <cell r="S29" t="str">
            <v>DENTAL SURGERY</v>
          </cell>
          <cell r="T29" t="str">
            <v>Shona Chaib</v>
          </cell>
        </row>
        <row r="30">
          <cell r="O30">
            <v>0</v>
          </cell>
          <cell r="R30" t="str">
            <v>400</v>
          </cell>
          <cell r="S30" t="str">
            <v>HOUSEKEEPING</v>
          </cell>
          <cell r="T30" t="str">
            <v>Vicki Mc Allister</v>
          </cell>
        </row>
        <row r="31">
          <cell r="O31">
            <v>0</v>
          </cell>
          <cell r="R31" t="str">
            <v>403</v>
          </cell>
          <cell r="S31" t="str">
            <v>SECURITY</v>
          </cell>
          <cell r="T31" t="str">
            <v>Alex Macleod</v>
          </cell>
        </row>
        <row r="32">
          <cell r="R32" t="str">
            <v>410</v>
          </cell>
          <cell r="S32" t="str">
            <v>CATERING</v>
          </cell>
          <cell r="T32" t="str">
            <v>Elizabeth White</v>
          </cell>
        </row>
        <row r="33">
          <cell r="R33" t="str">
            <v>420</v>
          </cell>
          <cell r="S33" t="str">
            <v>TRAVEL OFFICE/GROUND TRANSPORT</v>
          </cell>
          <cell r="T33" t="str">
            <v>Ian Mc Adam</v>
          </cell>
        </row>
        <row r="34">
          <cell r="R34" t="str">
            <v>431</v>
          </cell>
          <cell r="S34" t="str">
            <v>ADMITTING</v>
          </cell>
          <cell r="T34" t="str">
            <v>Ian Mc Adam</v>
          </cell>
        </row>
        <row r="35">
          <cell r="R35" t="str">
            <v>432</v>
          </cell>
          <cell r="S35" t="str">
            <v>RELIGIOUS/CULTURAL OFFICE</v>
          </cell>
          <cell r="T35" t="str">
            <v>Ian Mc Adam</v>
          </cell>
        </row>
        <row r="36">
          <cell r="R36" t="str">
            <v>440</v>
          </cell>
          <cell r="S36" t="str">
            <v>CENTRAL STERILE SUPPLY</v>
          </cell>
          <cell r="T36" t="str">
            <v>Barbara CAsey</v>
          </cell>
        </row>
        <row r="37">
          <cell r="R37" t="str">
            <v>450</v>
          </cell>
          <cell r="S37" t="str">
            <v>BIO-MEDICAL ENGINEERING</v>
          </cell>
          <cell r="T37" t="str">
            <v>Alan Nixon</v>
          </cell>
        </row>
        <row r="38">
          <cell r="R38" t="str">
            <v>451</v>
          </cell>
          <cell r="S38" t="str">
            <v>MAINTENANCE ENGINEERING</v>
          </cell>
          <cell r="T38" t="str">
            <v>Alex Macleod</v>
          </cell>
        </row>
        <row r="39">
          <cell r="R39" t="str">
            <v>460</v>
          </cell>
          <cell r="S39" t="str">
            <v>MATERIALS MANAGEMENT</v>
          </cell>
          <cell r="T39" t="str">
            <v>Alistair Douglas</v>
          </cell>
        </row>
        <row r="40">
          <cell r="R40" t="str">
            <v>580</v>
          </cell>
          <cell r="S40" t="str">
            <v>MED -  ADMINISTRATION</v>
          </cell>
          <cell r="T40" t="str">
            <v>Dr Pradeep Ramaya</v>
          </cell>
        </row>
        <row r="41">
          <cell r="R41" t="str">
            <v>581</v>
          </cell>
          <cell r="S41" t="str">
            <v>MED -  MEDICAL (FTE MD)</v>
          </cell>
          <cell r="T41" t="str">
            <v>Dr Pradeep Ramaya</v>
          </cell>
        </row>
        <row r="42">
          <cell r="R42" t="str">
            <v>582</v>
          </cell>
          <cell r="S42" t="str">
            <v>MED -  MEDICAL (PT MD)</v>
          </cell>
          <cell r="T42" t="str">
            <v>Dr Pradeep Ramaya</v>
          </cell>
        </row>
        <row r="43">
          <cell r="R43" t="str">
            <v>700</v>
          </cell>
          <cell r="S43" t="str">
            <v>MKTG-HQ COORDINATION &amp; SUPPORT</v>
          </cell>
          <cell r="T43" t="str">
            <v>Alan Rogers</v>
          </cell>
        </row>
        <row r="44">
          <cell r="R44" t="str">
            <v>760</v>
          </cell>
          <cell r="S44" t="str">
            <v>MKTG - UAE</v>
          </cell>
          <cell r="T44" t="str">
            <v>Alan Rogers</v>
          </cell>
        </row>
        <row r="45">
          <cell r="R45" t="str">
            <v>800</v>
          </cell>
          <cell r="S45" t="str">
            <v>IS - OPERATIONS</v>
          </cell>
          <cell r="T45" t="str">
            <v>Angus Bruce</v>
          </cell>
        </row>
        <row r="46">
          <cell r="R46" t="str">
            <v>810</v>
          </cell>
          <cell r="S46" t="str">
            <v>FINANCE</v>
          </cell>
          <cell r="T46" t="str">
            <v>Michael Hewgill</v>
          </cell>
        </row>
        <row r="47">
          <cell r="R47" t="str">
            <v>820</v>
          </cell>
          <cell r="S47" t="str">
            <v>HUMAN RESOURCES</v>
          </cell>
          <cell r="T47" t="str">
            <v>Lindsey Ferries</v>
          </cell>
        </row>
        <row r="48">
          <cell r="R48" t="str">
            <v>825</v>
          </cell>
          <cell r="S48" t="str">
            <v>EMPLOYEE HEALTH</v>
          </cell>
          <cell r="T48" t="str">
            <v>Lindsey Ferries</v>
          </cell>
        </row>
        <row r="49">
          <cell r="R49" t="str">
            <v>840</v>
          </cell>
          <cell r="S49" t="str">
            <v>EXECUTIVE MANAGEMENT</v>
          </cell>
          <cell r="T49" t="str">
            <v>Tony Leahy</v>
          </cell>
        </row>
        <row r="50">
          <cell r="R50" t="str">
            <v>852</v>
          </cell>
          <cell r="S50" t="str">
            <v>ORG. DEVELOPMENT &amp; QUALITY</v>
          </cell>
          <cell r="T50" t="str">
            <v>Theresa Harris</v>
          </cell>
        </row>
        <row r="51">
          <cell r="R51" t="str">
            <v>860</v>
          </cell>
          <cell r="S51" t="str">
            <v>PATIENT SERVICES ADMIN.</v>
          </cell>
          <cell r="T51" t="str">
            <v>Shona Chaib</v>
          </cell>
        </row>
        <row r="52">
          <cell r="R52" t="str">
            <v>890</v>
          </cell>
          <cell r="S52" t="str">
            <v>CORPORATE AFFAIRS</v>
          </cell>
          <cell r="T52" t="str">
            <v>Shona Chaib</v>
          </cell>
        </row>
        <row r="53">
          <cell r="R53" t="str">
            <v>895</v>
          </cell>
          <cell r="S53" t="str">
            <v>HOTEL RECHARGES</v>
          </cell>
        </row>
        <row r="54">
          <cell r="R54" t="str">
            <v>900</v>
          </cell>
          <cell r="S54" t="str">
            <v>INCOME &amp; EXPENSE</v>
          </cell>
        </row>
        <row r="55">
          <cell r="R55" t="str">
            <v>905</v>
          </cell>
          <cell r="S55" t="str">
            <v>CROWN PRINCE COURT</v>
          </cell>
        </row>
        <row r="56">
          <cell r="R56" t="str">
            <v>910</v>
          </cell>
          <cell r="S56" t="str">
            <v>ADIC</v>
          </cell>
        </row>
        <row r="57">
          <cell r="R57" t="str">
            <v>910</v>
          </cell>
          <cell r="S57" t="str">
            <v>ADIC</v>
          </cell>
        </row>
      </sheetData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COSMETIC"/>
      <sheetName val="OPD CON"/>
      <sheetName val="OPD ASSES"/>
      <sheetName val="OPD TREAT"/>
      <sheetName val="OPTHAMOLOGY"/>
      <sheetName val="ORTHOPAEDIC"/>
      <sheetName val="PHLEBOTOMY"/>
      <sheetName val="REHAB"/>
      <sheetName val="ARTHROPLASTY"/>
      <sheetName val="CARD"/>
      <sheetName val="DENTAL"/>
      <sheetName val="DERM"/>
      <sheetName val="MINOR PROC"/>
      <sheetName val="Procedures"/>
      <sheetName val="Sheet1"/>
      <sheetName val="MinorProcRoom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SAL_SUM"/>
      <sheetName val="HOSP"/>
      <sheetName val="HTL"/>
      <sheetName val="SAL_BY_GL"/>
      <sheetName val="SAL_ADJ"/>
      <sheetName val="VARIABL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10">
          <cell r="A10">
            <v>0.10199999999999999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>
    <pageSetUpPr fitToPage="1"/>
  </sheetPr>
  <dimension ref="C1:Y60"/>
  <sheetViews>
    <sheetView showGridLines="0" zoomScale="90" zoomScaleNormal="90" workbookViewId="0">
      <selection activeCell="I38" sqref="I38"/>
    </sheetView>
  </sheetViews>
  <sheetFormatPr defaultRowHeight="12.75"/>
  <cols>
    <col min="1" max="1" width="9.140625" style="1"/>
    <col min="2" max="2" width="2.7109375" style="1" customWidth="1"/>
    <col min="3" max="3" width="35.28515625" style="1" customWidth="1"/>
    <col min="4" max="4" width="2.7109375" style="1" customWidth="1"/>
    <col min="5" max="5" width="11.42578125" style="2" customWidth="1"/>
    <col min="6" max="6" width="1.85546875" style="2" customWidth="1"/>
    <col min="7" max="7" width="9.28515625" style="2" customWidth="1"/>
    <col min="8" max="8" width="3.42578125" style="2" customWidth="1"/>
    <col min="9" max="9" width="9.7109375" style="2" customWidth="1"/>
    <col min="10" max="10" width="2.7109375" style="1" customWidth="1"/>
    <col min="11" max="11" width="11.28515625" style="2" customWidth="1"/>
    <col min="12" max="12" width="2.7109375" style="2" customWidth="1"/>
    <col min="13" max="13" width="11.28515625" style="2" bestFit="1" customWidth="1"/>
    <col min="14" max="14" width="2.7109375" style="2" customWidth="1"/>
    <col min="15" max="15" width="10.140625" style="2" bestFit="1" customWidth="1"/>
    <col min="16" max="16" width="2.7109375" style="1" customWidth="1"/>
    <col min="17" max="17" width="13" style="3" customWidth="1"/>
    <col min="18" max="18" width="2.7109375" style="1" customWidth="1"/>
    <col min="19" max="19" width="15.5703125" style="1" customWidth="1"/>
    <col min="20" max="20" width="2.7109375" style="1" customWidth="1"/>
    <col min="21" max="21" width="9.140625" style="1"/>
    <col min="22" max="22" width="10.140625" style="1" bestFit="1" customWidth="1"/>
    <col min="23" max="23" width="9.140625" style="1"/>
    <col min="24" max="24" width="11.28515625" style="1" bestFit="1" customWidth="1"/>
    <col min="25" max="16384" width="9.140625" style="1"/>
  </cols>
  <sheetData>
    <row r="1" spans="3:24">
      <c r="J1" s="2"/>
    </row>
    <row r="2" spans="3:24">
      <c r="J2" s="2"/>
    </row>
    <row r="3" spans="3:24">
      <c r="C3" s="4" t="s">
        <v>103</v>
      </c>
      <c r="I3" s="5"/>
      <c r="J3" s="2"/>
      <c r="M3" s="6">
        <v>-40726.600127729762</v>
      </c>
      <c r="S3" s="7" t="s">
        <v>102</v>
      </c>
    </row>
    <row r="4" spans="3:24">
      <c r="C4" s="246" t="s">
        <v>203</v>
      </c>
      <c r="J4" s="2"/>
      <c r="Q4" s="2"/>
    </row>
    <row r="5" spans="3:24">
      <c r="C5" s="7"/>
    </row>
    <row r="6" spans="3:24" ht="13.5" thickBot="1">
      <c r="C6" s="7"/>
    </row>
    <row r="7" spans="3:24">
      <c r="C7" s="8" t="s">
        <v>30</v>
      </c>
      <c r="D7" s="112"/>
      <c r="E7" s="296" t="s">
        <v>204</v>
      </c>
      <c r="F7" s="297"/>
      <c r="G7" s="297"/>
      <c r="H7" s="297"/>
      <c r="I7" s="298"/>
      <c r="J7" s="112"/>
      <c r="K7" s="296" t="s">
        <v>1</v>
      </c>
      <c r="L7" s="297"/>
      <c r="M7" s="297"/>
      <c r="N7" s="297"/>
      <c r="O7" s="298"/>
      <c r="P7" s="112"/>
      <c r="Q7" s="9" t="s">
        <v>2</v>
      </c>
      <c r="R7" s="112"/>
      <c r="S7" s="9" t="s">
        <v>3</v>
      </c>
    </row>
    <row r="8" spans="3:24">
      <c r="C8" s="74"/>
      <c r="D8" s="73"/>
      <c r="E8" s="11" t="s">
        <v>4</v>
      </c>
      <c r="F8" s="12"/>
      <c r="G8" s="13" t="s">
        <v>5</v>
      </c>
      <c r="H8" s="12"/>
      <c r="I8" s="14" t="s">
        <v>6</v>
      </c>
      <c r="J8" s="73"/>
      <c r="K8" s="11" t="s">
        <v>4</v>
      </c>
      <c r="L8" s="12"/>
      <c r="M8" s="13" t="s">
        <v>5</v>
      </c>
      <c r="N8" s="12"/>
      <c r="O8" s="14" t="s">
        <v>6</v>
      </c>
      <c r="P8" s="73"/>
      <c r="Q8" s="15" t="s">
        <v>7</v>
      </c>
      <c r="R8" s="73"/>
      <c r="S8" s="15" t="s">
        <v>4</v>
      </c>
      <c r="U8" s="16"/>
      <c r="V8" s="16"/>
      <c r="W8" s="16"/>
      <c r="X8" s="16"/>
    </row>
    <row r="9" spans="3:24">
      <c r="C9" s="15" t="s">
        <v>186</v>
      </c>
      <c r="D9" s="73"/>
      <c r="E9" s="17" t="s">
        <v>8</v>
      </c>
      <c r="F9" s="18"/>
      <c r="G9" s="19" t="s">
        <v>8</v>
      </c>
      <c r="H9" s="18"/>
      <c r="I9" s="20" t="s">
        <v>8</v>
      </c>
      <c r="J9" s="73"/>
      <c r="K9" s="17" t="s">
        <v>8</v>
      </c>
      <c r="L9" s="18"/>
      <c r="M9" s="19" t="s">
        <v>8</v>
      </c>
      <c r="N9" s="18"/>
      <c r="O9" s="20" t="s">
        <v>8</v>
      </c>
      <c r="P9" s="73"/>
      <c r="Q9" s="21" t="s">
        <v>8</v>
      </c>
      <c r="R9" s="73"/>
      <c r="S9" s="21" t="s">
        <v>8</v>
      </c>
      <c r="U9" s="16"/>
      <c r="V9" s="16"/>
      <c r="W9" s="16"/>
      <c r="X9" s="16"/>
    </row>
    <row r="10" spans="3:24" ht="12" customHeight="1">
      <c r="C10" s="44" t="s">
        <v>26</v>
      </c>
      <c r="D10" s="73"/>
      <c r="E10" s="11"/>
      <c r="F10" s="22"/>
      <c r="G10" s="22"/>
      <c r="H10" s="12"/>
      <c r="I10" s="23"/>
      <c r="J10" s="73"/>
      <c r="K10" s="11"/>
      <c r="L10" s="22"/>
      <c r="M10" s="22"/>
      <c r="N10" s="12"/>
      <c r="O10" s="23"/>
      <c r="P10" s="73"/>
      <c r="Q10" s="24"/>
      <c r="R10" s="73"/>
      <c r="S10" s="24"/>
      <c r="U10" s="16"/>
      <c r="V10" s="25"/>
      <c r="W10" s="16"/>
      <c r="X10" s="16"/>
    </row>
    <row r="11" spans="3:24">
      <c r="C11" s="74" t="s">
        <v>25</v>
      </c>
      <c r="D11" s="73"/>
      <c r="E11" s="26">
        <f>'Page 2 - Core Income '!E11+'Page 2 - Core Income '!E12</f>
        <v>-5346.3229699999956</v>
      </c>
      <c r="F11" s="27"/>
      <c r="G11" s="28">
        <f>'Page 2 - Core Income '!G11+'Page 2 - Core Income '!G12</f>
        <v>-5346.3229699999956</v>
      </c>
      <c r="H11" s="29"/>
      <c r="I11" s="30">
        <f>E11-G11</f>
        <v>0</v>
      </c>
      <c r="J11" s="73"/>
      <c r="K11" s="26">
        <f>'Page 2 - Core Income '!K11+'Page 2 - Core Income '!K12</f>
        <v>-52184.09754000001</v>
      </c>
      <c r="L11" s="27"/>
      <c r="M11" s="28">
        <f>'Page 2 - Core Income '!M11+'Page 2 - Core Income '!M12</f>
        <v>-52184.09754000001</v>
      </c>
      <c r="N11" s="29"/>
      <c r="O11" s="30">
        <f>K11-M11</f>
        <v>0</v>
      </c>
      <c r="P11" s="73"/>
      <c r="Q11" s="31">
        <f>'Page 2 - Core Income '!Q11+'Page 2 - Core Income '!Q12</f>
        <v>-65317.554950000034</v>
      </c>
      <c r="R11" s="73"/>
      <c r="S11" s="31">
        <f>'Page 2 - Core Income '!S11+'Page 2 - Core Income '!S12</f>
        <v>-67309.049280000021</v>
      </c>
      <c r="U11" s="16"/>
      <c r="V11" s="25"/>
      <c r="W11" s="16"/>
      <c r="X11" s="16"/>
    </row>
    <row r="12" spans="3:24">
      <c r="C12" s="15" t="s">
        <v>181</v>
      </c>
      <c r="D12" s="73"/>
      <c r="E12" s="45">
        <f>SUM(E11:E11)</f>
        <v>-5346.3229699999956</v>
      </c>
      <c r="F12" s="48"/>
      <c r="G12" s="47">
        <f>SUM(G11:G11)</f>
        <v>-5346.3229699999956</v>
      </c>
      <c r="H12" s="48"/>
      <c r="I12" s="49">
        <f>SUM(I11:I11)</f>
        <v>0</v>
      </c>
      <c r="J12" s="4"/>
      <c r="K12" s="45">
        <f>SUM(K11:K11)</f>
        <v>-52184.09754000001</v>
      </c>
      <c r="L12" s="48"/>
      <c r="M12" s="47">
        <f>SUM(M11:M11)</f>
        <v>-52184.09754000001</v>
      </c>
      <c r="N12" s="48"/>
      <c r="O12" s="49">
        <f>SUM(O11:O11)</f>
        <v>0</v>
      </c>
      <c r="P12" s="4"/>
      <c r="Q12" s="50">
        <f>SUM(Q11:Q11)</f>
        <v>-65317.554950000034</v>
      </c>
      <c r="R12" s="4"/>
      <c r="S12" s="50">
        <f>SUM(S11:S11)</f>
        <v>-67309.049280000021</v>
      </c>
      <c r="U12" s="16"/>
      <c r="W12" s="16"/>
      <c r="X12" s="25"/>
    </row>
    <row r="13" spans="3:24" ht="5.25" customHeight="1">
      <c r="C13" s="10"/>
      <c r="D13" s="73"/>
      <c r="E13" s="26"/>
      <c r="F13" s="27"/>
      <c r="G13" s="28"/>
      <c r="H13" s="29"/>
      <c r="I13" s="30"/>
      <c r="J13" s="73"/>
      <c r="K13" s="26"/>
      <c r="L13" s="27"/>
      <c r="M13" s="28"/>
      <c r="N13" s="29"/>
      <c r="O13" s="30"/>
      <c r="P13" s="73"/>
      <c r="Q13" s="31"/>
      <c r="R13" s="73"/>
      <c r="S13" s="31"/>
      <c r="U13" s="16"/>
      <c r="W13" s="16"/>
      <c r="X13" s="25"/>
    </row>
    <row r="14" spans="3:24">
      <c r="C14" s="58" t="s">
        <v>0</v>
      </c>
      <c r="D14" s="73"/>
      <c r="E14" s="280">
        <f>'Page 2 - Core Income '!E22</f>
        <v>-4870.8237099999988</v>
      </c>
      <c r="F14" s="252"/>
      <c r="G14" s="28">
        <f>'Page 2 - Core Income '!G22</f>
        <v>-5033.3425699999989</v>
      </c>
      <c r="H14" s="29"/>
      <c r="I14" s="30">
        <f>E14-G14</f>
        <v>162.51886000000013</v>
      </c>
      <c r="J14" s="73"/>
      <c r="K14" s="41">
        <f>'Page 2 - Core Income '!K22</f>
        <v>-50393.532019999999</v>
      </c>
      <c r="L14" s="27"/>
      <c r="M14" s="28">
        <f>'Page 2 - Core Income '!M22</f>
        <v>-51525.982709999989</v>
      </c>
      <c r="N14" s="29"/>
      <c r="O14" s="30">
        <f>K14-M14+1</f>
        <v>1133.4506899999906</v>
      </c>
      <c r="P14" s="73"/>
      <c r="Q14" s="31">
        <f>'Page 2 - Core Income '!Q22</f>
        <v>-61603.345292846861</v>
      </c>
      <c r="R14" s="73"/>
      <c r="S14" s="31">
        <f>'Page 2 - Core Income '!S22</f>
        <v>-58083.023200000003</v>
      </c>
      <c r="U14" s="16"/>
      <c r="W14" s="16"/>
      <c r="X14" s="25"/>
    </row>
    <row r="15" spans="3:24">
      <c r="C15" s="10"/>
      <c r="D15" s="73"/>
      <c r="E15" s="26"/>
      <c r="F15" s="27"/>
      <c r="G15" s="42"/>
      <c r="H15" s="29"/>
      <c r="I15" s="30"/>
      <c r="J15" s="73"/>
      <c r="K15" s="26"/>
      <c r="L15" s="27"/>
      <c r="M15" s="42"/>
      <c r="N15" s="29"/>
      <c r="O15" s="30"/>
      <c r="P15" s="73"/>
      <c r="Q15" s="43"/>
      <c r="R15" s="73"/>
      <c r="S15" s="10"/>
      <c r="U15" s="16"/>
      <c r="V15" s="25"/>
      <c r="W15" s="16"/>
      <c r="X15" s="16"/>
    </row>
    <row r="16" spans="3:24">
      <c r="C16" s="44" t="s">
        <v>180</v>
      </c>
      <c r="D16" s="73"/>
      <c r="E16" s="45">
        <f>E12+E14</f>
        <v>-10217.146679999994</v>
      </c>
      <c r="F16" s="46"/>
      <c r="G16" s="47">
        <f>G12+G14</f>
        <v>-10379.665539999995</v>
      </c>
      <c r="H16" s="48"/>
      <c r="I16" s="49">
        <f>I14</f>
        <v>162.51886000000013</v>
      </c>
      <c r="J16" s="73"/>
      <c r="K16" s="45">
        <f>K12+K14</f>
        <v>-102577.62956</v>
      </c>
      <c r="L16" s="46"/>
      <c r="M16" s="47">
        <f>M12+M14</f>
        <v>-103710.08025</v>
      </c>
      <c r="N16" s="48"/>
      <c r="O16" s="49">
        <f>K16-M16+1</f>
        <v>1133.4506899999978</v>
      </c>
      <c r="P16" s="73"/>
      <c r="Q16" s="50">
        <f>Q12+Q14</f>
        <v>-126920.9002428469</v>
      </c>
      <c r="R16" s="73"/>
      <c r="S16" s="50">
        <f>S12+S14</f>
        <v>-125392.07248000003</v>
      </c>
      <c r="U16" s="16"/>
      <c r="V16" s="25"/>
      <c r="W16" s="16"/>
      <c r="X16" s="16"/>
    </row>
    <row r="17" spans="3:24">
      <c r="C17" s="10"/>
      <c r="D17" s="73"/>
      <c r="E17" s="51"/>
      <c r="F17" s="27"/>
      <c r="G17" s="52"/>
      <c r="H17" s="29"/>
      <c r="I17" s="30"/>
      <c r="J17" s="73"/>
      <c r="K17" s="26"/>
      <c r="L17" s="27"/>
      <c r="M17" s="42"/>
      <c r="N17" s="29"/>
      <c r="O17" s="30"/>
      <c r="P17" s="73"/>
      <c r="Q17" s="43"/>
      <c r="R17" s="73"/>
      <c r="S17" s="10"/>
      <c r="U17" s="16"/>
      <c r="V17" s="25"/>
      <c r="W17" s="16"/>
      <c r="X17" s="16"/>
    </row>
    <row r="18" spans="3:24">
      <c r="C18" s="44" t="s">
        <v>27</v>
      </c>
      <c r="D18" s="73"/>
      <c r="E18" s="26"/>
      <c r="F18" s="27"/>
      <c r="G18" s="42"/>
      <c r="H18" s="29"/>
      <c r="I18" s="30"/>
      <c r="J18" s="73"/>
      <c r="K18" s="26"/>
      <c r="L18" s="27"/>
      <c r="M18" s="42"/>
      <c r="N18" s="29"/>
      <c r="O18" s="30"/>
      <c r="P18" s="73"/>
      <c r="Q18" s="43"/>
      <c r="R18" s="73"/>
      <c r="S18" s="10"/>
      <c r="U18" s="16"/>
      <c r="V18" s="25"/>
      <c r="W18" s="16"/>
      <c r="X18" s="16"/>
    </row>
    <row r="19" spans="3:24">
      <c r="C19" s="10"/>
      <c r="D19" s="73"/>
      <c r="E19" s="51"/>
      <c r="F19" s="53"/>
      <c r="G19" s="54"/>
      <c r="H19" s="55"/>
      <c r="I19" s="56"/>
      <c r="J19" s="73"/>
      <c r="K19" s="51"/>
      <c r="L19" s="53"/>
      <c r="M19" s="54"/>
      <c r="N19" s="55"/>
      <c r="O19" s="56"/>
      <c r="P19" s="73"/>
      <c r="Q19" s="31"/>
      <c r="R19" s="73"/>
      <c r="S19" s="31"/>
      <c r="U19" s="16"/>
      <c r="V19" s="25"/>
      <c r="W19" s="16"/>
      <c r="X19" s="16"/>
    </row>
    <row r="20" spans="3:24">
      <c r="C20" s="76" t="s">
        <v>13</v>
      </c>
      <c r="D20" s="73"/>
      <c r="E20" s="59">
        <f>'Page 3 - Core Expenditure'!E19</f>
        <v>6757.8</v>
      </c>
      <c r="F20" s="176"/>
      <c r="G20" s="60">
        <f>'Page 3 - Core Expenditure'!G19</f>
        <v>6806.7</v>
      </c>
      <c r="H20" s="29"/>
      <c r="I20" s="30">
        <f>E20-G20</f>
        <v>-48.899999999999636</v>
      </c>
      <c r="J20" s="73"/>
      <c r="K20" s="59">
        <f>'Page 3 - Core Expenditure'!K19</f>
        <v>66504.099999999991</v>
      </c>
      <c r="L20" s="176"/>
      <c r="M20" s="60">
        <f>'Page 3 - Core Expenditure'!M19</f>
        <v>67605.2</v>
      </c>
      <c r="N20" s="29"/>
      <c r="O20" s="30">
        <f>K20-M20</f>
        <v>-1101.1000000000058</v>
      </c>
      <c r="P20" s="73"/>
      <c r="Q20" s="31">
        <f>'Page 3 - Core Expenditure'!Q19</f>
        <v>81184.099999999991</v>
      </c>
      <c r="R20" s="73"/>
      <c r="S20" s="31">
        <f>'Page 3 - Core Expenditure'!S19</f>
        <v>75196</v>
      </c>
    </row>
    <row r="21" spans="3:24">
      <c r="C21" s="76" t="s">
        <v>20</v>
      </c>
      <c r="D21" s="73"/>
      <c r="E21" s="59">
        <f>'Page 3 - Core Expenditure'!E33</f>
        <v>3459.5999999999995</v>
      </c>
      <c r="F21" s="176"/>
      <c r="G21" s="60">
        <f>'Page 3 - Core Expenditure'!G33</f>
        <v>3569.4000000000005</v>
      </c>
      <c r="H21" s="29"/>
      <c r="I21" s="30">
        <f>E21-G21-1</f>
        <v>-110.80000000000109</v>
      </c>
      <c r="J21" s="73"/>
      <c r="K21" s="59">
        <f>'Page 3 - Core Expenditure'!K33</f>
        <v>36072.800000000003</v>
      </c>
      <c r="L21" s="176"/>
      <c r="M21" s="60">
        <f>'Page 3 - Core Expenditure'!M33</f>
        <v>36104.400000000001</v>
      </c>
      <c r="N21" s="29"/>
      <c r="O21" s="30">
        <f>K21-M21</f>
        <v>-31.599999999998545</v>
      </c>
      <c r="P21" s="73"/>
      <c r="Q21" s="31">
        <f>'Page 3 - Core Expenditure'!Q33</f>
        <v>45850.899999999994</v>
      </c>
      <c r="R21" s="73"/>
      <c r="S21" s="31">
        <f>'Page 3 - Core Expenditure'!S33+1</f>
        <v>50196</v>
      </c>
    </row>
    <row r="22" spans="3:24">
      <c r="C22" s="44" t="s">
        <v>182</v>
      </c>
      <c r="D22" s="73"/>
      <c r="E22" s="45">
        <f>SUM(E20:E21)</f>
        <v>10217.4</v>
      </c>
      <c r="F22" s="46"/>
      <c r="G22" s="47">
        <f>SUM(G20:G21)</f>
        <v>10376.1</v>
      </c>
      <c r="H22" s="48"/>
      <c r="I22" s="49">
        <f>SUM(I20:I21)</f>
        <v>-159.70000000000073</v>
      </c>
      <c r="J22" s="73"/>
      <c r="K22" s="45">
        <f>SUM(K20:K21)+1</f>
        <v>102577.9</v>
      </c>
      <c r="L22" s="46"/>
      <c r="M22" s="47">
        <f>SUM(M20:M21)</f>
        <v>103709.6</v>
      </c>
      <c r="N22" s="48"/>
      <c r="O22" s="49">
        <f>SUM(O20:O21)</f>
        <v>-1132.7000000000044</v>
      </c>
      <c r="P22" s="73"/>
      <c r="Q22" s="261">
        <f>SUM(Q20:Q21)</f>
        <v>127034.99999999999</v>
      </c>
      <c r="R22" s="73"/>
      <c r="S22" s="50">
        <f>SUM(S20:S21)</f>
        <v>125392</v>
      </c>
    </row>
    <row r="23" spans="3:24">
      <c r="C23" s="44"/>
      <c r="D23" s="73"/>
      <c r="E23" s="37"/>
      <c r="F23" s="27"/>
      <c r="G23" s="38"/>
      <c r="H23" s="39"/>
      <c r="I23" s="40"/>
      <c r="J23" s="73"/>
      <c r="K23" s="37"/>
      <c r="L23" s="27"/>
      <c r="M23" s="38"/>
      <c r="N23" s="39"/>
      <c r="O23" s="40"/>
      <c r="P23" s="73"/>
      <c r="Q23" s="24"/>
      <c r="R23" s="73"/>
      <c r="S23" s="24"/>
    </row>
    <row r="24" spans="3:24">
      <c r="C24" s="58"/>
      <c r="D24" s="73"/>
      <c r="E24" s="59"/>
      <c r="F24" s="176"/>
      <c r="G24" s="60"/>
      <c r="H24" s="39"/>
      <c r="I24" s="30"/>
      <c r="J24" s="73"/>
      <c r="K24" s="59"/>
      <c r="L24" s="176"/>
      <c r="M24" s="60"/>
      <c r="N24" s="39"/>
      <c r="O24" s="30"/>
      <c r="P24" s="73"/>
      <c r="Q24" s="31"/>
      <c r="R24" s="73"/>
      <c r="S24" s="31"/>
    </row>
    <row r="25" spans="3:24">
      <c r="C25" s="44" t="s">
        <v>183</v>
      </c>
      <c r="D25" s="73"/>
      <c r="E25" s="45">
        <f>-(E16+E22)</f>
        <v>-0.25332000000526023</v>
      </c>
      <c r="F25" s="46"/>
      <c r="G25" s="47">
        <f>-(G16+G22)-1</f>
        <v>2.5655399999941437</v>
      </c>
      <c r="H25" s="75"/>
      <c r="I25" s="49">
        <f>(I16+I22)</f>
        <v>2.818859999999404</v>
      </c>
      <c r="J25" s="73"/>
      <c r="K25" s="45">
        <f>-(K16+K22)</f>
        <v>-0.2704399999929592</v>
      </c>
      <c r="L25" s="46"/>
      <c r="M25" s="47">
        <f>-(M16+M22)</f>
        <v>0.48024999999324791</v>
      </c>
      <c r="N25" s="75"/>
      <c r="O25" s="49">
        <f>(O16+O22)-1</f>
        <v>-0.24931000000651693</v>
      </c>
      <c r="P25" s="73"/>
      <c r="Q25" s="50">
        <f>+Q16+Q22</f>
        <v>114.09975715308974</v>
      </c>
      <c r="R25" s="73"/>
      <c r="S25" s="50">
        <f>+S16+S22</f>
        <v>-7.2480000031646341E-2</v>
      </c>
    </row>
    <row r="26" spans="3:24">
      <c r="C26" s="44"/>
      <c r="D26" s="73"/>
      <c r="E26" s="37"/>
      <c r="F26" s="27"/>
      <c r="G26" s="38"/>
      <c r="H26" s="39"/>
      <c r="I26" s="40"/>
      <c r="J26" s="73"/>
      <c r="K26" s="37"/>
      <c r="L26" s="27"/>
      <c r="M26" s="38"/>
      <c r="N26" s="39"/>
      <c r="O26" s="40"/>
      <c r="P26" s="73"/>
      <c r="Q26" s="24"/>
      <c r="R26" s="73"/>
      <c r="S26" s="24"/>
    </row>
    <row r="27" spans="3:24">
      <c r="C27" s="15" t="s">
        <v>187</v>
      </c>
      <c r="D27" s="73"/>
      <c r="E27" s="37"/>
      <c r="F27" s="27"/>
      <c r="G27" s="38"/>
      <c r="H27" s="39"/>
      <c r="I27" s="40"/>
      <c r="J27" s="73"/>
      <c r="K27" s="37"/>
      <c r="L27" s="27"/>
      <c r="M27" s="38"/>
      <c r="N27" s="39"/>
      <c r="O27" s="40"/>
      <c r="P27" s="73"/>
      <c r="Q27" s="24"/>
      <c r="R27" s="73"/>
      <c r="S27" s="24"/>
    </row>
    <row r="28" spans="3:24">
      <c r="C28" s="74" t="s">
        <v>191</v>
      </c>
      <c r="D28" s="73"/>
      <c r="E28" s="59">
        <f>'Page 4 - Non Core Income &amp; Exp'!E16</f>
        <v>-520</v>
      </c>
      <c r="F28" s="176"/>
      <c r="G28" s="60">
        <f>'Page 4 - Non Core Income &amp; Exp'!G16</f>
        <v>-520</v>
      </c>
      <c r="H28" s="39"/>
      <c r="I28" s="30">
        <f>E28-G28</f>
        <v>0</v>
      </c>
      <c r="J28" s="73"/>
      <c r="K28" s="59">
        <f>'Page 4 - Non Core Income &amp; Exp'!K16</f>
        <v>-5204</v>
      </c>
      <c r="L28" s="176"/>
      <c r="M28" s="60">
        <f>'Page 4 - Non Core Income &amp; Exp'!M16</f>
        <v>-5979</v>
      </c>
      <c r="N28" s="39"/>
      <c r="O28" s="30">
        <f>K28-M28</f>
        <v>775</v>
      </c>
      <c r="P28" s="73"/>
      <c r="Q28" s="24">
        <f>'Page 4 - Non Core Income &amp; Exp'!Q16</f>
        <v>-6786.00036</v>
      </c>
      <c r="R28" s="73"/>
      <c r="S28" s="24">
        <f>'Page 4 - Non Core Income &amp; Exp'!S16</f>
        <v>-6786.00036</v>
      </c>
    </row>
    <row r="29" spans="3:24">
      <c r="C29" s="74" t="s">
        <v>192</v>
      </c>
      <c r="D29" s="73"/>
      <c r="E29" s="77">
        <f>'Page 4 - Non Core Income &amp; Exp'!E23</f>
        <v>520</v>
      </c>
      <c r="F29" s="27"/>
      <c r="G29" s="42">
        <f>'Page 4 - Non Core Income &amp; Exp'!G23</f>
        <v>542.70000000000005</v>
      </c>
      <c r="H29" s="29"/>
      <c r="I29" s="30">
        <f>E29-G29</f>
        <v>-22.700000000000045</v>
      </c>
      <c r="J29" s="73"/>
      <c r="K29" s="77">
        <f>'Page 4 - Non Core Income &amp; Exp'!K23</f>
        <v>5204</v>
      </c>
      <c r="L29" s="27"/>
      <c r="M29" s="42">
        <f>'Page 4 - Non Core Income &amp; Exp'!M23</f>
        <v>6166</v>
      </c>
      <c r="N29" s="29"/>
      <c r="O29" s="30">
        <f>K29-M29</f>
        <v>-962</v>
      </c>
      <c r="P29" s="73"/>
      <c r="Q29" s="31">
        <f>'Page 4 - Non Core Income &amp; Exp'!Q23</f>
        <v>6786</v>
      </c>
      <c r="R29" s="73"/>
      <c r="S29" s="31">
        <f>'Page 4 - Non Core Income &amp; Exp'!S23</f>
        <v>6786</v>
      </c>
    </row>
    <row r="30" spans="3:24">
      <c r="C30" s="10"/>
      <c r="D30" s="73"/>
      <c r="E30" s="26"/>
      <c r="F30" s="27"/>
      <c r="G30" s="42"/>
      <c r="H30" s="29"/>
      <c r="I30" s="30"/>
      <c r="J30" s="73"/>
      <c r="K30" s="26"/>
      <c r="L30" s="27"/>
      <c r="M30" s="42"/>
      <c r="N30" s="29"/>
      <c r="O30" s="30"/>
      <c r="P30" s="73"/>
      <c r="Q30" s="43"/>
      <c r="R30" s="73"/>
      <c r="S30" s="10"/>
    </row>
    <row r="31" spans="3:24">
      <c r="C31" s="44" t="s">
        <v>184</v>
      </c>
      <c r="D31" s="73"/>
      <c r="E31" s="45">
        <f>(E28+E29)</f>
        <v>0</v>
      </c>
      <c r="F31" s="46"/>
      <c r="G31" s="47">
        <f>-(G28+G29)</f>
        <v>-22.700000000000045</v>
      </c>
      <c r="H31" s="48"/>
      <c r="I31" s="49">
        <f>SUM(I28:I29)</f>
        <v>-22.700000000000045</v>
      </c>
      <c r="J31" s="73"/>
      <c r="K31" s="45">
        <f>-(K28+K29)</f>
        <v>0</v>
      </c>
      <c r="L31" s="46"/>
      <c r="M31" s="47">
        <f>-(M28+M29)</f>
        <v>-187</v>
      </c>
      <c r="N31" s="48"/>
      <c r="O31" s="49">
        <f>SUM(O28:O29)</f>
        <v>-187</v>
      </c>
      <c r="P31" s="73"/>
      <c r="Q31" s="50">
        <f>SUM(Q28:Q30)</f>
        <v>-3.6000000000058208E-4</v>
      </c>
      <c r="R31" s="73"/>
      <c r="S31" s="50">
        <f>SUM(S28:S30)</f>
        <v>-3.6000000000058208E-4</v>
      </c>
    </row>
    <row r="32" spans="3:24">
      <c r="C32" s="44"/>
      <c r="D32" s="73"/>
      <c r="E32" s="37"/>
      <c r="F32" s="27"/>
      <c r="G32" s="38"/>
      <c r="H32" s="39"/>
      <c r="I32" s="40"/>
      <c r="J32" s="73"/>
      <c r="K32" s="37"/>
      <c r="L32" s="27"/>
      <c r="M32" s="38"/>
      <c r="N32" s="39"/>
      <c r="O32" s="40"/>
      <c r="P32" s="73"/>
      <c r="Q32" s="24"/>
      <c r="R32" s="73"/>
      <c r="S32" s="24"/>
    </row>
    <row r="33" spans="3:25">
      <c r="C33" s="44" t="s">
        <v>188</v>
      </c>
      <c r="D33" s="73"/>
      <c r="E33" s="37"/>
      <c r="F33" s="27"/>
      <c r="G33" s="38"/>
      <c r="H33" s="39"/>
      <c r="I33" s="40"/>
      <c r="J33" s="73"/>
      <c r="K33" s="37"/>
      <c r="L33" s="27"/>
      <c r="M33" s="38"/>
      <c r="N33" s="39"/>
      <c r="O33" s="40"/>
      <c r="P33" s="73"/>
      <c r="Q33" s="24"/>
      <c r="R33" s="73"/>
      <c r="S33" s="24"/>
    </row>
    <row r="34" spans="3:25">
      <c r="C34" s="58" t="s">
        <v>95</v>
      </c>
      <c r="D34" s="73"/>
      <c r="E34" s="59">
        <f>E16+E28</f>
        <v>-10737.146679999994</v>
      </c>
      <c r="F34" s="176"/>
      <c r="G34" s="60">
        <f>G28+G16</f>
        <v>-10899.665539999995</v>
      </c>
      <c r="H34" s="272"/>
      <c r="I34" s="273">
        <f>E34-G34</f>
        <v>162.51886000000013</v>
      </c>
      <c r="J34" s="73"/>
      <c r="K34" s="59">
        <f>K16+K28</f>
        <v>-107781.62956</v>
      </c>
      <c r="L34" s="176"/>
      <c r="M34" s="60">
        <f>M28+M16</f>
        <v>-109689.08025</v>
      </c>
      <c r="N34" s="272"/>
      <c r="O34" s="273">
        <f>K34-M34</f>
        <v>1907.4506899999978</v>
      </c>
      <c r="P34" s="73"/>
      <c r="Q34" s="24">
        <f>Q16+Q28</f>
        <v>-133706.9006028469</v>
      </c>
      <c r="R34" s="73"/>
      <c r="S34" s="24">
        <f>S16+S28</f>
        <v>-132178.07284000004</v>
      </c>
    </row>
    <row r="35" spans="3:25">
      <c r="C35" s="58" t="s">
        <v>21</v>
      </c>
      <c r="D35" s="73"/>
      <c r="E35" s="59">
        <f>E22+E29</f>
        <v>10737.4</v>
      </c>
      <c r="F35" s="27"/>
      <c r="G35" s="60">
        <f>G29+G22</f>
        <v>10918.800000000001</v>
      </c>
      <c r="H35" s="39"/>
      <c r="I35" s="273">
        <f>E35-G35</f>
        <v>-181.40000000000146</v>
      </c>
      <c r="J35" s="73"/>
      <c r="K35" s="59">
        <f>K22+K29</f>
        <v>107781.9</v>
      </c>
      <c r="L35" s="27"/>
      <c r="M35" s="60">
        <f>M29+M22</f>
        <v>109875.6</v>
      </c>
      <c r="N35" s="39"/>
      <c r="O35" s="273">
        <f>K35-M35</f>
        <v>-2093.7000000000116</v>
      </c>
      <c r="P35" s="73"/>
      <c r="Q35" s="24">
        <f>Q22+Q29</f>
        <v>133821</v>
      </c>
      <c r="R35" s="73"/>
      <c r="S35" s="24">
        <f>S22+S29</f>
        <v>132178</v>
      </c>
    </row>
    <row r="36" spans="3:25">
      <c r="C36" s="10"/>
      <c r="D36" s="73"/>
      <c r="E36" s="26"/>
      <c r="F36" s="27"/>
      <c r="G36" s="42"/>
      <c r="H36" s="29"/>
      <c r="I36" s="30"/>
      <c r="J36" s="73"/>
      <c r="K36" s="26"/>
      <c r="L36" s="27"/>
      <c r="M36" s="42"/>
      <c r="N36" s="29"/>
      <c r="O36" s="30"/>
      <c r="P36" s="73"/>
      <c r="Q36" s="10"/>
      <c r="R36" s="73"/>
      <c r="S36" s="10"/>
    </row>
    <row r="37" spans="3:25">
      <c r="C37" s="44" t="s">
        <v>185</v>
      </c>
      <c r="D37" s="73"/>
      <c r="E37" s="45">
        <f>E25+E31</f>
        <v>-0.25332000000526023</v>
      </c>
      <c r="F37" s="46"/>
      <c r="G37" s="47">
        <f>G25+G31</f>
        <v>-20.134460000005902</v>
      </c>
      <c r="H37" s="48"/>
      <c r="I37" s="49">
        <f>SUM(I34:I36)-1</f>
        <v>-19.881140000001324</v>
      </c>
      <c r="J37" s="73"/>
      <c r="K37" s="45">
        <f>K25+K31</f>
        <v>-0.2704399999929592</v>
      </c>
      <c r="L37" s="46"/>
      <c r="M37" s="47">
        <f>M25+M31</f>
        <v>-186.51975000000675</v>
      </c>
      <c r="N37" s="48"/>
      <c r="O37" s="49">
        <f>SUM(O34:O36)-1</f>
        <v>-187.24931000001379</v>
      </c>
      <c r="P37" s="73"/>
      <c r="Q37" s="282">
        <f>SUM(Q34:Q36)</f>
        <v>114.09939715309883</v>
      </c>
      <c r="R37" s="73"/>
      <c r="S37" s="50">
        <f>S34+S35</f>
        <v>-7.2840000037103891E-2</v>
      </c>
      <c r="X37" s="61"/>
    </row>
    <row r="38" spans="3:25" ht="13.5" thickBot="1">
      <c r="C38" s="62"/>
      <c r="D38" s="117"/>
      <c r="E38" s="63"/>
      <c r="F38" s="64"/>
      <c r="G38" s="65"/>
      <c r="H38" s="66"/>
      <c r="I38" s="67"/>
      <c r="J38" s="117"/>
      <c r="K38" s="63"/>
      <c r="L38" s="64"/>
      <c r="M38" s="65"/>
      <c r="N38" s="66"/>
      <c r="O38" s="67"/>
      <c r="P38" s="117"/>
      <c r="Q38" s="68"/>
      <c r="R38" s="117"/>
      <c r="S38" s="62"/>
      <c r="X38" s="61"/>
      <c r="Y38" s="69"/>
    </row>
    <row r="39" spans="3:25" ht="13.5" thickBot="1">
      <c r="I39" s="70"/>
      <c r="O39" s="70"/>
      <c r="Q39" s="2"/>
    </row>
    <row r="40" spans="3:25" ht="15">
      <c r="C40" s="111" t="s">
        <v>31</v>
      </c>
      <c r="D40" s="112"/>
      <c r="E40" s="299" t="s">
        <v>189</v>
      </c>
      <c r="F40" s="300"/>
      <c r="G40" s="300"/>
      <c r="H40" s="301"/>
      <c r="I40" s="302"/>
      <c r="J40" s="112"/>
      <c r="K40" s="299" t="s">
        <v>198</v>
      </c>
      <c r="L40" s="300"/>
      <c r="M40" s="300"/>
      <c r="N40" s="301"/>
      <c r="O40" s="302"/>
      <c r="Q40" s="2"/>
    </row>
    <row r="41" spans="3:25" ht="30">
      <c r="C41" s="115" t="s">
        <v>89</v>
      </c>
      <c r="D41" s="73"/>
      <c r="E41" s="166" t="s">
        <v>33</v>
      </c>
      <c r="F41" s="307" t="s">
        <v>34</v>
      </c>
      <c r="G41" s="308"/>
      <c r="H41" s="309" t="s">
        <v>35</v>
      </c>
      <c r="I41" s="310"/>
      <c r="J41" s="73"/>
      <c r="K41" s="166" t="s">
        <v>33</v>
      </c>
      <c r="L41" s="307" t="s">
        <v>34</v>
      </c>
      <c r="M41" s="308"/>
      <c r="N41" s="307" t="s">
        <v>35</v>
      </c>
      <c r="O41" s="311"/>
    </row>
    <row r="42" spans="3:25">
      <c r="C42" s="113"/>
      <c r="D42" s="73"/>
      <c r="E42" s="159"/>
      <c r="F42" s="55"/>
      <c r="G42" s="54"/>
      <c r="H42" s="55"/>
      <c r="I42" s="56"/>
      <c r="J42" s="73"/>
      <c r="K42" s="51"/>
      <c r="L42" s="55"/>
      <c r="M42" s="54"/>
      <c r="N42" s="55"/>
      <c r="O42" s="56"/>
    </row>
    <row r="43" spans="3:25">
      <c r="C43" s="114" t="s">
        <v>48</v>
      </c>
      <c r="D43" s="73"/>
      <c r="E43" s="51">
        <f>'Page 5 - Efficiency savings'!F7</f>
        <v>3115</v>
      </c>
      <c r="F43" s="55"/>
      <c r="G43" s="54">
        <f>'Page 5 - Efficiency savings'!G7</f>
        <v>0</v>
      </c>
      <c r="H43" s="55"/>
      <c r="I43" s="23">
        <f>SUM(E43:G43)</f>
        <v>3115</v>
      </c>
      <c r="J43" s="73"/>
      <c r="K43" s="51">
        <f>SUM('Page 5 - Efficiency savings'!I7)</f>
        <v>3952</v>
      </c>
      <c r="L43" s="55"/>
      <c r="M43" s="54">
        <f>SUM('Page 5 - Efficiency savings'!J7)</f>
        <v>0</v>
      </c>
      <c r="N43" s="55"/>
      <c r="O43" s="23">
        <f>K43+M43</f>
        <v>3952</v>
      </c>
    </row>
    <row r="44" spans="3:25">
      <c r="C44" s="114" t="s">
        <v>49</v>
      </c>
      <c r="D44" s="73"/>
      <c r="E44" s="51">
        <f>SUM('Page 5 - Efficiency savings'!F17)</f>
        <v>3238</v>
      </c>
      <c r="F44" s="55"/>
      <c r="G44" s="54">
        <f>SUM('Page 5 - Efficiency savings'!G17)</f>
        <v>414</v>
      </c>
      <c r="H44" s="55"/>
      <c r="I44" s="23">
        <f>SUM('Page 5 - Efficiency savings'!H17)</f>
        <v>3652</v>
      </c>
      <c r="J44" s="73"/>
      <c r="K44" s="51">
        <f>SUM('Page 5 - Efficiency savings'!I17)</f>
        <v>3952</v>
      </c>
      <c r="L44" s="55"/>
      <c r="M44" s="54">
        <f>SUM('Page 5 - Efficiency savings'!J17)</f>
        <v>414</v>
      </c>
      <c r="N44" s="55"/>
      <c r="O44" s="23">
        <f>K44+M44</f>
        <v>4366</v>
      </c>
    </row>
    <row r="45" spans="3:25" ht="13.5" thickBot="1">
      <c r="C45" s="115" t="s">
        <v>100</v>
      </c>
      <c r="D45" s="73"/>
      <c r="E45" s="160">
        <f>E44-E43</f>
        <v>123</v>
      </c>
      <c r="F45" s="165"/>
      <c r="G45" s="162">
        <f>G44-G43</f>
        <v>414</v>
      </c>
      <c r="H45" s="165"/>
      <c r="I45" s="163">
        <f>I44-I43</f>
        <v>537</v>
      </c>
      <c r="J45" s="73"/>
      <c r="K45" s="160">
        <f>K44-K43</f>
        <v>0</v>
      </c>
      <c r="L45" s="165"/>
      <c r="M45" s="162">
        <f>M44-M43</f>
        <v>414</v>
      </c>
      <c r="N45" s="165"/>
      <c r="O45" s="163">
        <f>O44-O43</f>
        <v>414</v>
      </c>
    </row>
    <row r="46" spans="3:25" ht="13.5" thickBot="1">
      <c r="C46" s="116"/>
      <c r="D46" s="117"/>
      <c r="E46" s="72"/>
      <c r="F46" s="72"/>
      <c r="G46" s="72"/>
      <c r="H46" s="72"/>
      <c r="I46" s="72"/>
      <c r="J46" s="117"/>
      <c r="K46" s="72"/>
      <c r="L46" s="72"/>
      <c r="M46" s="72"/>
      <c r="N46" s="72"/>
      <c r="O46" s="118"/>
    </row>
    <row r="47" spans="3:25" ht="13.5" thickBot="1"/>
    <row r="48" spans="3:25">
      <c r="C48" s="111" t="s">
        <v>51</v>
      </c>
      <c r="D48" s="112"/>
      <c r="E48" s="303" t="s">
        <v>204</v>
      </c>
      <c r="F48" s="304"/>
      <c r="G48" s="304"/>
      <c r="H48" s="304"/>
      <c r="I48" s="305"/>
      <c r="J48" s="112"/>
      <c r="K48" s="306" t="s">
        <v>1</v>
      </c>
      <c r="L48" s="297"/>
      <c r="M48" s="297"/>
      <c r="N48" s="297"/>
      <c r="O48" s="298"/>
      <c r="P48" s="112"/>
      <c r="Q48" s="9" t="s">
        <v>2</v>
      </c>
      <c r="R48" s="112"/>
      <c r="S48" s="9" t="s">
        <v>3</v>
      </c>
      <c r="T48" s="73"/>
      <c r="U48" s="73"/>
    </row>
    <row r="49" spans="3:21">
      <c r="C49" s="115" t="s">
        <v>193</v>
      </c>
      <c r="D49" s="73"/>
      <c r="E49" s="11" t="s">
        <v>4</v>
      </c>
      <c r="F49" s="12"/>
      <c r="G49" s="13" t="s">
        <v>5</v>
      </c>
      <c r="H49" s="12"/>
      <c r="I49" s="14" t="s">
        <v>6</v>
      </c>
      <c r="J49" s="73"/>
      <c r="K49" s="11" t="s">
        <v>4</v>
      </c>
      <c r="L49" s="12"/>
      <c r="M49" s="13" t="s">
        <v>5</v>
      </c>
      <c r="N49" s="12"/>
      <c r="O49" s="14" t="s">
        <v>6</v>
      </c>
      <c r="P49" s="73"/>
      <c r="Q49" s="15" t="s">
        <v>7</v>
      </c>
      <c r="R49" s="73"/>
      <c r="S49" s="15" t="s">
        <v>4</v>
      </c>
      <c r="T49" s="73"/>
      <c r="U49" s="73"/>
    </row>
    <row r="50" spans="3:21">
      <c r="C50" s="115"/>
      <c r="D50" s="73"/>
      <c r="E50" s="17" t="s">
        <v>8</v>
      </c>
      <c r="F50" s="18"/>
      <c r="G50" s="19" t="s">
        <v>8</v>
      </c>
      <c r="H50" s="18"/>
      <c r="I50" s="20" t="s">
        <v>8</v>
      </c>
      <c r="J50" s="73"/>
      <c r="K50" s="17" t="s">
        <v>8</v>
      </c>
      <c r="L50" s="18"/>
      <c r="M50" s="19" t="s">
        <v>8</v>
      </c>
      <c r="N50" s="18"/>
      <c r="O50" s="20" t="s">
        <v>8</v>
      </c>
      <c r="P50" s="73"/>
      <c r="Q50" s="21" t="s">
        <v>8</v>
      </c>
      <c r="R50" s="73"/>
      <c r="S50" s="21" t="s">
        <v>8</v>
      </c>
      <c r="T50" s="73"/>
      <c r="U50" s="73"/>
    </row>
    <row r="51" spans="3:21">
      <c r="C51" s="113"/>
      <c r="D51" s="73"/>
      <c r="E51" s="159"/>
      <c r="F51" s="55"/>
      <c r="G51" s="158"/>
      <c r="H51" s="55"/>
      <c r="I51" s="56"/>
      <c r="J51" s="73"/>
      <c r="K51" s="159"/>
      <c r="L51" s="55"/>
      <c r="M51" s="158"/>
      <c r="N51" s="55"/>
      <c r="O51" s="56"/>
      <c r="P51" s="73"/>
      <c r="Q51" s="43"/>
      <c r="R51" s="73"/>
      <c r="S51" s="10"/>
      <c r="T51" s="73"/>
      <c r="U51" s="73"/>
    </row>
    <row r="52" spans="3:21">
      <c r="C52" s="114" t="s">
        <v>52</v>
      </c>
      <c r="D52" s="73"/>
      <c r="E52" s="51">
        <f>'Page 6 - Capital Expenditure'!D36</f>
        <v>360</v>
      </c>
      <c r="F52" s="55"/>
      <c r="G52" s="54">
        <f>'Page 6 - Capital Expenditure'!E36</f>
        <v>360</v>
      </c>
      <c r="H52" s="55"/>
      <c r="I52" s="56">
        <f>E52-G52</f>
        <v>0</v>
      </c>
      <c r="J52" s="73"/>
      <c r="K52" s="51">
        <f>E52</f>
        <v>360</v>
      </c>
      <c r="L52" s="55"/>
      <c r="M52" s="54">
        <f>G52</f>
        <v>360</v>
      </c>
      <c r="N52" s="55"/>
      <c r="O52" s="56">
        <f>K52-M52</f>
        <v>0</v>
      </c>
      <c r="P52" s="73"/>
      <c r="Q52" s="31">
        <f>'Page 6 - Capital Expenditure'!G36</f>
        <v>1233</v>
      </c>
      <c r="R52" s="73"/>
      <c r="S52" s="31">
        <f>'Page 6 - Capital Expenditure'!H36</f>
        <v>1233</v>
      </c>
      <c r="T52" s="73"/>
      <c r="U52" s="73"/>
    </row>
    <row r="53" spans="3:21">
      <c r="C53" s="114" t="s">
        <v>53</v>
      </c>
      <c r="D53" s="73"/>
      <c r="E53" s="51">
        <f>'Page 6 - Capital Expenditure'!D47</f>
        <v>712</v>
      </c>
      <c r="F53" s="55"/>
      <c r="G53" s="54">
        <f>'Page 6 - Capital Expenditure'!E47</f>
        <v>712</v>
      </c>
      <c r="H53" s="55"/>
      <c r="I53" s="56">
        <f>E53-G53</f>
        <v>0</v>
      </c>
      <c r="J53" s="73"/>
      <c r="K53" s="51">
        <f>E53</f>
        <v>712</v>
      </c>
      <c r="L53" s="55"/>
      <c r="M53" s="54">
        <f>G53</f>
        <v>712</v>
      </c>
      <c r="N53" s="55"/>
      <c r="O53" s="56">
        <f>K53-M53</f>
        <v>0</v>
      </c>
      <c r="P53" s="73"/>
      <c r="Q53" s="31">
        <f>'Page 6 - Capital Expenditure'!G47</f>
        <v>3322</v>
      </c>
      <c r="R53" s="73"/>
      <c r="S53" s="31">
        <f>'Page 6 - Capital Expenditure'!H47</f>
        <v>3322</v>
      </c>
      <c r="T53" s="73"/>
      <c r="U53" s="73"/>
    </row>
    <row r="54" spans="3:21">
      <c r="C54" s="114" t="s">
        <v>77</v>
      </c>
      <c r="D54" s="73"/>
      <c r="E54" s="51">
        <f>'Page 6 - Capital Expenditure'!D59</f>
        <v>0</v>
      </c>
      <c r="F54" s="55"/>
      <c r="G54" s="54">
        <f>'Page 6 - Capital Expenditure'!E59</f>
        <v>0</v>
      </c>
      <c r="H54" s="55"/>
      <c r="I54" s="56">
        <f>E54-G54</f>
        <v>0</v>
      </c>
      <c r="J54" s="73"/>
      <c r="K54" s="51">
        <f>E54</f>
        <v>0</v>
      </c>
      <c r="L54" s="55"/>
      <c r="M54" s="54">
        <f>G54</f>
        <v>0</v>
      </c>
      <c r="N54" s="55"/>
      <c r="O54" s="56">
        <f>K54-M54</f>
        <v>0</v>
      </c>
      <c r="P54" s="73"/>
      <c r="Q54" s="31">
        <f>'Page 6 - Capital Expenditure'!G59</f>
        <v>4580</v>
      </c>
      <c r="R54" s="73"/>
      <c r="S54" s="31">
        <f>'Page 6 - Capital Expenditure'!H59</f>
        <v>4580</v>
      </c>
      <c r="T54" s="73"/>
      <c r="U54" s="73"/>
    </row>
    <row r="55" spans="3:21">
      <c r="C55" s="114" t="s">
        <v>54</v>
      </c>
      <c r="D55" s="73"/>
      <c r="E55" s="51">
        <f>'Page 6 - Capital Expenditure'!D72</f>
        <v>639</v>
      </c>
      <c r="F55" s="55"/>
      <c r="G55" s="54">
        <f>'Page 6 - Capital Expenditure'!E72</f>
        <v>639</v>
      </c>
      <c r="H55" s="55"/>
      <c r="I55" s="56">
        <f>E55-G55</f>
        <v>0</v>
      </c>
      <c r="J55" s="73"/>
      <c r="K55" s="51">
        <f>E55</f>
        <v>639</v>
      </c>
      <c r="L55" s="55"/>
      <c r="M55" s="54">
        <f>G55</f>
        <v>639</v>
      </c>
      <c r="N55" s="55"/>
      <c r="O55" s="56">
        <f>K55-M55</f>
        <v>0</v>
      </c>
      <c r="P55" s="73"/>
      <c r="Q55" s="31">
        <f>'Page 6 - Capital Expenditure'!G72</f>
        <v>812</v>
      </c>
      <c r="R55" s="73"/>
      <c r="S55" s="31">
        <f>'Page 6 - Capital Expenditure'!H72</f>
        <v>812</v>
      </c>
      <c r="T55" s="73"/>
      <c r="U55" s="73"/>
    </row>
    <row r="56" spans="3:21" ht="13.5" thickBot="1">
      <c r="C56" s="167" t="s">
        <v>55</v>
      </c>
      <c r="D56" s="117"/>
      <c r="E56" s="160">
        <f>SUM(E52:E55)</f>
        <v>1711</v>
      </c>
      <c r="F56" s="161"/>
      <c r="G56" s="162">
        <f>SUM(G52:G55)</f>
        <v>1711</v>
      </c>
      <c r="H56" s="161"/>
      <c r="I56" s="163">
        <f>SUM(I52:I55)</f>
        <v>0</v>
      </c>
      <c r="J56" s="117"/>
      <c r="K56" s="160">
        <f>SUM(K52:K55)</f>
        <v>1711</v>
      </c>
      <c r="L56" s="161"/>
      <c r="M56" s="162">
        <f>SUM(M52:M55)</f>
        <v>1711</v>
      </c>
      <c r="N56" s="161"/>
      <c r="O56" s="163">
        <f>SUM(O52:O55)</f>
        <v>0</v>
      </c>
      <c r="P56" s="117"/>
      <c r="Q56" s="164">
        <f>SUM(Q52:Q55)</f>
        <v>9947</v>
      </c>
      <c r="R56" s="117"/>
      <c r="S56" s="164">
        <f>SUM(S52:S55)</f>
        <v>9947</v>
      </c>
      <c r="T56" s="73"/>
      <c r="U56" s="73"/>
    </row>
    <row r="60" spans="3:21">
      <c r="C60" s="274"/>
    </row>
  </sheetData>
  <mergeCells count="10">
    <mergeCell ref="K7:O7"/>
    <mergeCell ref="E7:I7"/>
    <mergeCell ref="E40:I40"/>
    <mergeCell ref="K40:O40"/>
    <mergeCell ref="E48:I48"/>
    <mergeCell ref="K48:O48"/>
    <mergeCell ref="F41:G41"/>
    <mergeCell ref="H41:I41"/>
    <mergeCell ref="L41:M41"/>
    <mergeCell ref="N41:O41"/>
  </mergeCells>
  <phoneticPr fontId="7" type="noConversion"/>
  <printOptions horizontalCentered="1"/>
  <pageMargins left="0.27" right="0.26" top="0.23622047244094491" bottom="0.31" header="0.19685039370078741" footer="0.23622047244094491"/>
  <pageSetup paperSize="9" scale="81" orientation="landscape" cellComments="asDisplayed" horizontalDpi="4294967293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>
    <pageSetUpPr fitToPage="1"/>
  </sheetPr>
  <dimension ref="C1:X32"/>
  <sheetViews>
    <sheetView showGridLines="0" topLeftCell="C1" workbookViewId="0">
      <pane xSplit="2" ySplit="10" topLeftCell="E11" activePane="bottomRight" state="frozen"/>
      <selection activeCell="C1" sqref="C1"/>
      <selection pane="topRight" activeCell="E1" sqref="E1"/>
      <selection pane="bottomLeft" activeCell="C11" sqref="C11"/>
      <selection pane="bottomRight" activeCell="O22" sqref="O22"/>
    </sheetView>
  </sheetViews>
  <sheetFormatPr defaultRowHeight="12.75"/>
  <cols>
    <col min="1" max="1" width="9.140625" style="1"/>
    <col min="2" max="2" width="2.7109375" style="1" customWidth="1"/>
    <col min="3" max="3" width="33.140625" style="1" bestFit="1" customWidth="1"/>
    <col min="4" max="4" width="2.7109375" style="1" customWidth="1"/>
    <col min="5" max="5" width="11.42578125" style="2" customWidth="1"/>
    <col min="6" max="6" width="1.85546875" style="2" customWidth="1"/>
    <col min="7" max="7" width="9.28515625" style="2" customWidth="1"/>
    <col min="8" max="8" width="3.42578125" style="2" customWidth="1"/>
    <col min="9" max="9" width="9.7109375" style="2" customWidth="1"/>
    <col min="10" max="10" width="2.7109375" style="1" customWidth="1"/>
    <col min="11" max="11" width="11.28515625" style="2" customWidth="1"/>
    <col min="12" max="12" width="2.7109375" style="2" customWidth="1"/>
    <col min="13" max="13" width="11.28515625" style="2" bestFit="1" customWidth="1"/>
    <col min="14" max="14" width="2.7109375" style="2" customWidth="1"/>
    <col min="15" max="15" width="10.140625" style="2" bestFit="1" customWidth="1"/>
    <col min="16" max="16" width="2.7109375" style="1" customWidth="1"/>
    <col min="17" max="17" width="13" style="3" customWidth="1"/>
    <col min="18" max="18" width="2.7109375" style="1" customWidth="1"/>
    <col min="19" max="19" width="15.5703125" style="1" customWidth="1"/>
    <col min="20" max="20" width="2.7109375" style="1" customWidth="1"/>
    <col min="21" max="21" width="9.140625" style="1"/>
    <col min="22" max="22" width="17.42578125" style="1" bestFit="1" customWidth="1"/>
    <col min="23" max="23" width="9.140625" style="1"/>
    <col min="24" max="24" width="11.28515625" style="1" bestFit="1" customWidth="1"/>
    <col min="25" max="16384" width="9.140625" style="1"/>
  </cols>
  <sheetData>
    <row r="1" spans="3:24">
      <c r="J1" s="2"/>
    </row>
    <row r="2" spans="3:24">
      <c r="J2" s="2"/>
    </row>
    <row r="3" spans="3:24">
      <c r="C3" s="4" t="s">
        <v>96</v>
      </c>
      <c r="I3" s="5"/>
      <c r="J3" s="2"/>
      <c r="M3" s="6">
        <v>-40726.600127729762</v>
      </c>
    </row>
    <row r="4" spans="3:24">
      <c r="C4" s="4" t="str">
        <f>Summary!C4</f>
        <v>2016-17 - January 2017</v>
      </c>
      <c r="J4" s="2"/>
      <c r="Q4" s="2"/>
    </row>
    <row r="5" spans="3:24">
      <c r="C5" s="7"/>
    </row>
    <row r="6" spans="3:24" ht="13.5" thickBot="1">
      <c r="C6" s="7"/>
    </row>
    <row r="7" spans="3:24">
      <c r="C7" s="8" t="s">
        <v>177</v>
      </c>
      <c r="E7" s="306" t="str">
        <f>Summary!E7</f>
        <v>January</v>
      </c>
      <c r="F7" s="297"/>
      <c r="G7" s="297"/>
      <c r="H7" s="297"/>
      <c r="I7" s="298"/>
      <c r="K7" s="296" t="s">
        <v>1</v>
      </c>
      <c r="L7" s="297"/>
      <c r="M7" s="297"/>
      <c r="N7" s="297"/>
      <c r="O7" s="298"/>
      <c r="Q7" s="255" t="s">
        <v>2</v>
      </c>
      <c r="S7" s="9" t="s">
        <v>3</v>
      </c>
    </row>
    <row r="8" spans="3:24">
      <c r="C8" s="10"/>
      <c r="E8" s="238" t="s">
        <v>4</v>
      </c>
      <c r="F8" s="239"/>
      <c r="G8" s="240" t="s">
        <v>5</v>
      </c>
      <c r="H8" s="12"/>
      <c r="I8" s="14" t="s">
        <v>6</v>
      </c>
      <c r="K8" s="238" t="s">
        <v>4</v>
      </c>
      <c r="L8" s="239"/>
      <c r="M8" s="240" t="s">
        <v>5</v>
      </c>
      <c r="N8" s="12"/>
      <c r="O8" s="14" t="s">
        <v>6</v>
      </c>
      <c r="Q8" s="256" t="s">
        <v>7</v>
      </c>
      <c r="S8" s="15" t="s">
        <v>4</v>
      </c>
      <c r="U8" s="16"/>
      <c r="V8" s="16"/>
      <c r="W8" s="16"/>
      <c r="X8" s="16"/>
    </row>
    <row r="9" spans="3:24">
      <c r="C9" s="10"/>
      <c r="E9" s="17" t="s">
        <v>8</v>
      </c>
      <c r="F9" s="18"/>
      <c r="G9" s="19" t="s">
        <v>8</v>
      </c>
      <c r="H9" s="18"/>
      <c r="I9" s="20" t="s">
        <v>8</v>
      </c>
      <c r="K9" s="17" t="s">
        <v>8</v>
      </c>
      <c r="L9" s="18"/>
      <c r="M9" s="19" t="s">
        <v>8</v>
      </c>
      <c r="N9" s="18"/>
      <c r="O9" s="20" t="s">
        <v>8</v>
      </c>
      <c r="Q9" s="257" t="s">
        <v>8</v>
      </c>
      <c r="S9" s="21" t="s">
        <v>8</v>
      </c>
      <c r="U9" s="16"/>
      <c r="V9" s="16"/>
      <c r="W9" s="16"/>
      <c r="X9" s="16"/>
    </row>
    <row r="10" spans="3:24" ht="5.25" customHeight="1">
      <c r="C10" s="10"/>
      <c r="E10" s="11"/>
      <c r="F10" s="22"/>
      <c r="G10" s="22"/>
      <c r="H10" s="12"/>
      <c r="I10" s="23"/>
      <c r="K10" s="11"/>
      <c r="L10" s="22"/>
      <c r="M10" s="22"/>
      <c r="N10" s="12"/>
      <c r="O10" s="23"/>
      <c r="Q10" s="258"/>
      <c r="S10" s="24"/>
      <c r="U10" s="16"/>
      <c r="V10" s="16"/>
      <c r="W10" s="16"/>
      <c r="X10" s="16"/>
    </row>
    <row r="11" spans="3:24">
      <c r="C11" s="74" t="s">
        <v>90</v>
      </c>
      <c r="E11" s="26">
        <f>-'[14]Summary-Old'!C31/1000-E12</f>
        <v>-3789.7493866666628</v>
      </c>
      <c r="F11" s="27"/>
      <c r="G11" s="28">
        <f>E11</f>
        <v>-3789.7493866666628</v>
      </c>
      <c r="H11" s="29"/>
      <c r="I11" s="30">
        <v>0</v>
      </c>
      <c r="K11" s="26">
        <f>-'[14]Summary-Old'!G31/1000-K12</f>
        <v>-36618.361706666677</v>
      </c>
      <c r="L11" s="27"/>
      <c r="M11" s="28">
        <f>K11</f>
        <v>-36618.361706666677</v>
      </c>
      <c r="N11" s="29"/>
      <c r="O11" s="30">
        <f>K11-M11</f>
        <v>0</v>
      </c>
      <c r="Q11" s="259">
        <v>-46638.671950000033</v>
      </c>
      <c r="S11" s="31">
        <f>-'[15]Summary-Old'!M31/1000-S12</f>
        <v>-48752.979280000021</v>
      </c>
      <c r="U11" s="16"/>
      <c r="V11" s="16"/>
      <c r="W11" s="16"/>
      <c r="X11" s="16"/>
    </row>
    <row r="12" spans="3:24">
      <c r="C12" s="10" t="s">
        <v>9</v>
      </c>
      <c r="E12" s="26">
        <f>Q12/12</f>
        <v>-1556.5735833333331</v>
      </c>
      <c r="F12" s="27"/>
      <c r="G12" s="28">
        <f>E12</f>
        <v>-1556.5735833333331</v>
      </c>
      <c r="H12" s="29"/>
      <c r="I12" s="30">
        <v>0</v>
      </c>
      <c r="K12" s="41">
        <f>Q12/12*10</f>
        <v>-15565.73583333333</v>
      </c>
      <c r="L12" s="27"/>
      <c r="M12" s="284">
        <f>K12</f>
        <v>-15565.73583333333</v>
      </c>
      <c r="N12" s="29"/>
      <c r="O12" s="30">
        <f>K12-M12</f>
        <v>0</v>
      </c>
      <c r="Q12" s="292">
        <v>-18678.882999999998</v>
      </c>
      <c r="S12" s="292">
        <f>-18556070/1000</f>
        <v>-18556.07</v>
      </c>
      <c r="U12" s="16"/>
      <c r="V12" s="16"/>
      <c r="W12" s="16"/>
      <c r="X12" s="16"/>
    </row>
    <row r="13" spans="3:24">
      <c r="C13" s="15" t="s">
        <v>175</v>
      </c>
      <c r="E13" s="45">
        <f>SUM(E11:E12)</f>
        <v>-5346.3229699999956</v>
      </c>
      <c r="F13" s="48"/>
      <c r="G13" s="47">
        <f>SUM(G11:G12)</f>
        <v>-5346.3229699999956</v>
      </c>
      <c r="H13" s="75"/>
      <c r="I13" s="49">
        <f>SUM(I11:I12)</f>
        <v>0</v>
      </c>
      <c r="J13" s="7"/>
      <c r="K13" s="45">
        <f>SUM(K11:K12)</f>
        <v>-52184.09754000001</v>
      </c>
      <c r="L13" s="48"/>
      <c r="M13" s="47">
        <f>SUM(M11:M12)</f>
        <v>-52184.09754000001</v>
      </c>
      <c r="N13" s="75"/>
      <c r="O13" s="49">
        <f>SUM(O11:O12)</f>
        <v>0</v>
      </c>
      <c r="P13" s="7"/>
      <c r="Q13" s="261">
        <f>SUM(Q11:Q12)</f>
        <v>-65317.554950000034</v>
      </c>
      <c r="R13" s="7"/>
      <c r="S13" s="261">
        <f>SUM(S11:S12)</f>
        <v>-67309.049280000021</v>
      </c>
      <c r="U13" s="16"/>
      <c r="V13" s="16"/>
      <c r="W13" s="16"/>
      <c r="X13" s="25"/>
    </row>
    <row r="14" spans="3:24" ht="5.25" customHeight="1">
      <c r="C14" s="10"/>
      <c r="E14" s="26"/>
      <c r="F14" s="27"/>
      <c r="G14" s="28"/>
      <c r="H14" s="29"/>
      <c r="I14" s="30"/>
      <c r="K14" s="26"/>
      <c r="L14" s="27"/>
      <c r="M14" s="28"/>
      <c r="N14" s="29"/>
      <c r="O14" s="30"/>
      <c r="Q14" s="259"/>
      <c r="S14" s="31"/>
      <c r="U14" s="16"/>
      <c r="V14" s="16"/>
      <c r="W14" s="16"/>
      <c r="X14" s="25"/>
    </row>
    <row r="15" spans="3:24">
      <c r="C15" s="10" t="s">
        <v>10</v>
      </c>
      <c r="E15" s="77">
        <v>-25.248666666666701</v>
      </c>
      <c r="F15" s="27"/>
      <c r="G15" s="284">
        <v>-91.927949999999996</v>
      </c>
      <c r="H15" s="29"/>
      <c r="I15" s="30">
        <f t="shared" ref="I15:I21" si="0">E15-G15</f>
        <v>66.679283333333302</v>
      </c>
      <c r="K15" s="77">
        <v>-634.11866666666697</v>
      </c>
      <c r="L15" s="27"/>
      <c r="M15" s="28">
        <v>-670.40294999999992</v>
      </c>
      <c r="N15" s="29"/>
      <c r="O15" s="30">
        <f>K15-M15+1</f>
        <v>37.284283333332951</v>
      </c>
      <c r="Q15" s="281">
        <v>-747.94200000000001</v>
      </c>
      <c r="S15" s="293">
        <v>0</v>
      </c>
      <c r="U15" s="16"/>
      <c r="V15" s="16"/>
      <c r="W15" s="16"/>
      <c r="X15" s="25"/>
    </row>
    <row r="16" spans="3:24">
      <c r="C16" s="74" t="s">
        <v>91</v>
      </c>
      <c r="E16" s="41">
        <v>-2299.5437983333327</v>
      </c>
      <c r="F16" s="27"/>
      <c r="G16" s="237">
        <v>-2292.552771574557</v>
      </c>
      <c r="H16" s="29"/>
      <c r="I16" s="30">
        <f t="shared" si="0"/>
        <v>-6.9910267587756607</v>
      </c>
      <c r="K16" s="41">
        <v>-23240.261273333334</v>
      </c>
      <c r="L16" s="27"/>
      <c r="M16" s="237">
        <v>-23244.314459242181</v>
      </c>
      <c r="N16" s="29"/>
      <c r="O16" s="30">
        <f>K16-M16</f>
        <v>4.0531859088478086</v>
      </c>
      <c r="Q16" s="294">
        <v>-27852.2253712071</v>
      </c>
      <c r="S16" s="294">
        <v>-27058.027000000002</v>
      </c>
      <c r="U16" s="16"/>
      <c r="V16" s="16"/>
      <c r="W16" s="16"/>
      <c r="X16" s="25"/>
    </row>
    <row r="17" spans="3:24">
      <c r="C17" s="74" t="s">
        <v>92</v>
      </c>
      <c r="E17" s="41">
        <v>-677.52019916666677</v>
      </c>
      <c r="F17" s="27"/>
      <c r="G17" s="28">
        <v>-714.71886625000002</v>
      </c>
      <c r="H17" s="29"/>
      <c r="I17" s="30">
        <f t="shared" si="0"/>
        <v>37.198667083333248</v>
      </c>
      <c r="K17" s="41">
        <v>-6835.389991666666</v>
      </c>
      <c r="L17" s="27"/>
      <c r="M17" s="237">
        <v>-6872.5894852499987</v>
      </c>
      <c r="N17" s="29"/>
      <c r="O17" s="30">
        <f t="shared" ref="O17:O21" si="1">K17-M17</f>
        <v>37.199493583332696</v>
      </c>
      <c r="Q17" s="294">
        <v>-8247.1063949999989</v>
      </c>
      <c r="S17" s="259">
        <v>-8076.2</v>
      </c>
      <c r="U17" s="16"/>
      <c r="V17" s="16"/>
      <c r="W17" s="16"/>
      <c r="X17" s="25"/>
    </row>
    <row r="18" spans="3:24">
      <c r="C18" s="74" t="s">
        <v>93</v>
      </c>
      <c r="E18" s="41">
        <v>-1324.5480558333334</v>
      </c>
      <c r="F18" s="27"/>
      <c r="G18" s="28">
        <v>-1368.125772175443</v>
      </c>
      <c r="H18" s="29"/>
      <c r="I18" s="30">
        <f t="shared" si="0"/>
        <v>43.577716342109625</v>
      </c>
      <c r="K18" s="41">
        <v>-13426.964558333333</v>
      </c>
      <c r="L18" s="27"/>
      <c r="M18" s="237">
        <v>-13470.543515507812</v>
      </c>
      <c r="N18" s="29"/>
      <c r="O18" s="30">
        <f>K18-M18</f>
        <v>43.578957174479001</v>
      </c>
      <c r="Q18" s="294">
        <v>-16192.351239655509</v>
      </c>
      <c r="S18" s="259">
        <v>-15740.02666</v>
      </c>
      <c r="U18" s="16"/>
      <c r="V18" s="16"/>
      <c r="W18" s="16"/>
      <c r="X18" s="25"/>
    </row>
    <row r="19" spans="3:24" ht="16.5" customHeight="1">
      <c r="C19" s="74" t="s">
        <v>94</v>
      </c>
      <c r="E19" s="41">
        <v>-38.332999999999998</v>
      </c>
      <c r="F19" s="27"/>
      <c r="G19" s="28">
        <v>-38.332999999999998</v>
      </c>
      <c r="H19" s="29"/>
      <c r="I19" s="30">
        <f t="shared" si="0"/>
        <v>0</v>
      </c>
      <c r="K19" s="41">
        <v>-383.32899999999995</v>
      </c>
      <c r="L19" s="27"/>
      <c r="M19" s="237">
        <v>-383.32900000000001</v>
      </c>
      <c r="N19" s="29"/>
      <c r="O19" s="30">
        <f t="shared" si="1"/>
        <v>0</v>
      </c>
      <c r="Q19" s="294">
        <v>-459.99507698425697</v>
      </c>
      <c r="S19" s="259">
        <v>-358.81299999999999</v>
      </c>
      <c r="U19" s="16"/>
      <c r="V19" s="16"/>
      <c r="W19" s="16"/>
      <c r="X19" s="25"/>
    </row>
    <row r="20" spans="3:24">
      <c r="C20" s="74" t="s">
        <v>104</v>
      </c>
      <c r="E20" s="26">
        <v>-314.01233000000002</v>
      </c>
      <c r="F20" s="27"/>
      <c r="G20" s="28">
        <v>-311.99562000000003</v>
      </c>
      <c r="H20" s="29"/>
      <c r="I20" s="30">
        <f t="shared" si="0"/>
        <v>-2.0167099999999891</v>
      </c>
      <c r="K20" s="26">
        <v>-4206.8708699999997</v>
      </c>
      <c r="L20" s="27"/>
      <c r="M20" s="28">
        <v>-4159.4129000000003</v>
      </c>
      <c r="N20" s="29"/>
      <c r="O20" s="30">
        <f>K20-M20</f>
        <v>-47.457969999999477</v>
      </c>
      <c r="Q20" s="259">
        <v>-4980</v>
      </c>
      <c r="S20" s="31">
        <v>-4899.9565400000001</v>
      </c>
      <c r="U20" s="16"/>
      <c r="V20" s="16"/>
      <c r="W20" s="16"/>
      <c r="X20" s="16"/>
    </row>
    <row r="21" spans="3:24">
      <c r="C21" s="171" t="s">
        <v>11</v>
      </c>
      <c r="E21" s="26">
        <v>-191.61766</v>
      </c>
      <c r="F21" s="27"/>
      <c r="G21" s="28">
        <v>-215.68858999999998</v>
      </c>
      <c r="H21" s="29"/>
      <c r="I21" s="30">
        <f t="shared" si="0"/>
        <v>24.070929999999976</v>
      </c>
      <c r="K21" s="26">
        <v>-1666.5976599999999</v>
      </c>
      <c r="L21" s="27"/>
      <c r="M21" s="28">
        <v>-2725.3903999999998</v>
      </c>
      <c r="N21" s="29"/>
      <c r="O21" s="30">
        <f t="shared" si="1"/>
        <v>1058.7927399999999</v>
      </c>
      <c r="Q21" s="259">
        <v>-3123.7252100000001</v>
      </c>
      <c r="S21" s="31">
        <v>-1950</v>
      </c>
      <c r="U21" s="16"/>
      <c r="V21" s="16"/>
      <c r="W21" s="16"/>
      <c r="X21" s="16"/>
    </row>
    <row r="22" spans="3:24" ht="12" customHeight="1">
      <c r="C22" s="15" t="s">
        <v>12</v>
      </c>
      <c r="E22" s="45">
        <f>SUM(E15:E21)</f>
        <v>-4870.8237099999988</v>
      </c>
      <c r="F22" s="46"/>
      <c r="G22" s="47">
        <f>SUM(G15:G21)</f>
        <v>-5033.3425699999989</v>
      </c>
      <c r="H22" s="169"/>
      <c r="I22" s="49">
        <f>SUM(I15:I21)</f>
        <v>162.5188600000005</v>
      </c>
      <c r="K22" s="45">
        <f>SUM(K15:K21)</f>
        <v>-50393.532019999999</v>
      </c>
      <c r="L22" s="46"/>
      <c r="M22" s="170">
        <f>SUM(M15:M21)</f>
        <v>-51525.982709999989</v>
      </c>
      <c r="N22" s="169"/>
      <c r="O22" s="49">
        <f>SUM(O15:O21)</f>
        <v>1133.4506899999928</v>
      </c>
      <c r="Q22" s="261">
        <f>SUM(Q15:Q21)</f>
        <v>-61603.345292846861</v>
      </c>
      <c r="S22" s="50">
        <f>SUM(S15:S21)</f>
        <v>-58083.023200000003</v>
      </c>
      <c r="U22" s="16"/>
      <c r="V22" s="16"/>
      <c r="W22" s="16"/>
      <c r="X22" s="16"/>
    </row>
    <row r="23" spans="3:24">
      <c r="C23" s="10"/>
      <c r="E23" s="26"/>
      <c r="F23" s="27"/>
      <c r="G23" s="42"/>
      <c r="H23" s="29"/>
      <c r="I23" s="30"/>
      <c r="K23" s="26"/>
      <c r="L23" s="27"/>
      <c r="M23" s="42"/>
      <c r="N23" s="29"/>
      <c r="O23" s="30"/>
      <c r="Q23" s="262"/>
      <c r="S23" s="10"/>
      <c r="U23" s="16"/>
      <c r="V23" s="16"/>
      <c r="W23" s="16"/>
      <c r="X23" s="16"/>
    </row>
    <row r="24" spans="3:24">
      <c r="C24" s="44" t="s">
        <v>176</v>
      </c>
      <c r="E24" s="45">
        <f>E22+E13</f>
        <v>-10217.146679999994</v>
      </c>
      <c r="F24" s="46"/>
      <c r="G24" s="47">
        <f>G22+G13</f>
        <v>-10379.665539999995</v>
      </c>
      <c r="H24" s="48"/>
      <c r="I24" s="49">
        <f>I22+I13</f>
        <v>162.5188600000005</v>
      </c>
      <c r="K24" s="45">
        <f>K22+K13</f>
        <v>-102577.62956</v>
      </c>
      <c r="L24" s="46"/>
      <c r="M24" s="47">
        <f>M22+M13</f>
        <v>-103710.08025</v>
      </c>
      <c r="N24" s="48"/>
      <c r="O24" s="49">
        <f>O22+O13</f>
        <v>1133.4506899999928</v>
      </c>
      <c r="Q24" s="261">
        <f>Q22+Q13</f>
        <v>-126920.9002428469</v>
      </c>
      <c r="S24" s="50">
        <f>S22+S13</f>
        <v>-125392.07248000003</v>
      </c>
      <c r="U24" s="16"/>
      <c r="V24" s="16"/>
      <c r="W24" s="16"/>
      <c r="X24" s="16"/>
    </row>
    <row r="25" spans="3:24" ht="13.5" thickBot="1">
      <c r="C25" s="62"/>
      <c r="E25" s="168"/>
      <c r="F25" s="64"/>
      <c r="G25" s="65"/>
      <c r="H25" s="66"/>
      <c r="I25" s="67"/>
      <c r="K25" s="63"/>
      <c r="L25" s="64"/>
      <c r="M25" s="65"/>
      <c r="N25" s="66"/>
      <c r="O25" s="67"/>
      <c r="Q25" s="263"/>
      <c r="S25" s="62"/>
      <c r="U25" s="16"/>
      <c r="V25" s="16"/>
      <c r="W25" s="16"/>
      <c r="X25" s="25"/>
    </row>
    <row r="26" spans="3:24">
      <c r="O26" s="254"/>
      <c r="Q26" s="2"/>
      <c r="U26" s="16"/>
      <c r="V26" s="16"/>
      <c r="W26" s="16"/>
      <c r="X26" s="25"/>
    </row>
    <row r="27" spans="3:24">
      <c r="E27" s="249"/>
      <c r="O27" s="245"/>
      <c r="Q27" s="2"/>
      <c r="U27" s="16"/>
      <c r="V27" s="16"/>
      <c r="W27" s="16"/>
      <c r="X27" s="16"/>
    </row>
    <row r="28" spans="3:24">
      <c r="U28" s="16"/>
      <c r="V28" s="16"/>
      <c r="W28" s="16"/>
      <c r="X28" s="16"/>
    </row>
    <row r="29" spans="3:24">
      <c r="U29" s="16"/>
      <c r="V29" s="16"/>
      <c r="W29" s="16"/>
      <c r="X29" s="16"/>
    </row>
    <row r="30" spans="3:24">
      <c r="U30" s="16"/>
      <c r="V30" s="16"/>
      <c r="W30" s="16"/>
      <c r="X30" s="16"/>
    </row>
    <row r="31" spans="3:24">
      <c r="U31" s="16"/>
      <c r="V31" s="16"/>
      <c r="W31" s="16"/>
      <c r="X31" s="16"/>
    </row>
    <row r="32" spans="3:24">
      <c r="V32" s="16"/>
    </row>
  </sheetData>
  <mergeCells count="2">
    <mergeCell ref="K7:O7"/>
    <mergeCell ref="E7:I7"/>
  </mergeCells>
  <phoneticPr fontId="7" type="noConversion"/>
  <printOptions horizontalCentered="1"/>
  <pageMargins left="0.27" right="0.26" top="0.23622047244094491" bottom="0.31" header="0.19685039370078741" footer="0.23622047244094491"/>
  <pageSetup paperSize="9" scale="99" orientation="landscape" cellComments="asDisplayed" horizontalDpi="4294967293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>
    <pageSetUpPr fitToPage="1"/>
  </sheetPr>
  <dimension ref="C1:Y41"/>
  <sheetViews>
    <sheetView showGridLines="0" tabSelected="1" zoomScaleNormal="100" workbookViewId="0">
      <selection activeCell="K37" sqref="K37"/>
    </sheetView>
  </sheetViews>
  <sheetFormatPr defaultRowHeight="12.75"/>
  <cols>
    <col min="1" max="1" width="9.140625" style="1"/>
    <col min="2" max="2" width="2.7109375" style="1" customWidth="1"/>
    <col min="3" max="3" width="33.140625" style="1" bestFit="1" customWidth="1"/>
    <col min="4" max="4" width="2.7109375" style="1" customWidth="1"/>
    <col min="5" max="5" width="11.42578125" style="2" customWidth="1"/>
    <col min="6" max="6" width="1.85546875" style="2" customWidth="1"/>
    <col min="7" max="7" width="9.28515625" style="2" customWidth="1"/>
    <col min="8" max="8" width="3.42578125" style="2" customWidth="1"/>
    <col min="9" max="9" width="9.7109375" style="2" customWidth="1"/>
    <col min="10" max="10" width="2.7109375" style="1" customWidth="1"/>
    <col min="11" max="11" width="11.28515625" style="2" customWidth="1"/>
    <col min="12" max="12" width="2.7109375" style="2" customWidth="1"/>
    <col min="13" max="13" width="11.28515625" style="2" bestFit="1" customWidth="1"/>
    <col min="14" max="14" width="2.7109375" style="2" customWidth="1"/>
    <col min="15" max="15" width="10.140625" style="2" bestFit="1" customWidth="1"/>
    <col min="16" max="16" width="2.7109375" style="1" customWidth="1"/>
    <col min="17" max="17" width="13" style="3" customWidth="1"/>
    <col min="18" max="18" width="2.7109375" style="1" customWidth="1"/>
    <col min="19" max="19" width="15.5703125" style="242" customWidth="1"/>
    <col min="20" max="20" width="5.42578125" style="1" customWidth="1"/>
    <col min="21" max="21" width="9.140625" style="1" hidden="1" customWidth="1"/>
    <col min="22" max="22" width="10.140625" style="1" hidden="1" customWidth="1"/>
    <col min="23" max="23" width="9.140625" style="1" hidden="1" customWidth="1"/>
    <col min="24" max="24" width="11.28515625" style="1" hidden="1" customWidth="1"/>
    <col min="25" max="16384" width="9.140625" style="1"/>
  </cols>
  <sheetData>
    <row r="1" spans="3:24">
      <c r="J1" s="2"/>
    </row>
    <row r="2" spans="3:24">
      <c r="J2" s="2"/>
    </row>
    <row r="3" spans="3:24">
      <c r="C3" s="4" t="s">
        <v>101</v>
      </c>
      <c r="I3" s="5"/>
      <c r="J3" s="2"/>
      <c r="M3" s="6">
        <v>-40726.600127729762</v>
      </c>
    </row>
    <row r="4" spans="3:24">
      <c r="C4" s="4" t="str">
        <f>Summary!C4</f>
        <v>2016-17 - January 2017</v>
      </c>
      <c r="J4" s="2"/>
      <c r="Q4" s="2"/>
    </row>
    <row r="5" spans="3:24">
      <c r="C5" s="7"/>
    </row>
    <row r="6" spans="3:24" ht="13.5" thickBot="1">
      <c r="C6" s="7"/>
    </row>
    <row r="7" spans="3:24">
      <c r="C7" s="8"/>
      <c r="E7" s="306" t="str">
        <f>Summary!E7</f>
        <v>January</v>
      </c>
      <c r="F7" s="297"/>
      <c r="G7" s="297"/>
      <c r="H7" s="297"/>
      <c r="I7" s="298"/>
      <c r="K7" s="296" t="s">
        <v>1</v>
      </c>
      <c r="L7" s="297"/>
      <c r="M7" s="297"/>
      <c r="N7" s="297"/>
      <c r="O7" s="298"/>
      <c r="Q7" s="9" t="s">
        <v>2</v>
      </c>
      <c r="S7" s="255" t="s">
        <v>3</v>
      </c>
    </row>
    <row r="8" spans="3:24">
      <c r="C8" s="10"/>
      <c r="E8" s="238" t="s">
        <v>4</v>
      </c>
      <c r="F8" s="239"/>
      <c r="G8" s="240" t="s">
        <v>5</v>
      </c>
      <c r="H8" s="239"/>
      <c r="I8" s="241" t="s">
        <v>6</v>
      </c>
      <c r="J8" s="242"/>
      <c r="K8" s="238" t="s">
        <v>4</v>
      </c>
      <c r="L8" s="239"/>
      <c r="M8" s="240" t="s">
        <v>5</v>
      </c>
      <c r="N8" s="12"/>
      <c r="O8" s="14" t="s">
        <v>6</v>
      </c>
      <c r="Q8" s="15" t="s">
        <v>7</v>
      </c>
      <c r="S8" s="256" t="s">
        <v>4</v>
      </c>
      <c r="U8" s="16" t="s">
        <v>7</v>
      </c>
      <c r="V8" s="16"/>
      <c r="W8" s="16"/>
      <c r="X8" s="16"/>
    </row>
    <row r="9" spans="3:24">
      <c r="C9" s="10"/>
      <c r="E9" s="17" t="s">
        <v>8</v>
      </c>
      <c r="F9" s="18"/>
      <c r="G9" s="19" t="s">
        <v>8</v>
      </c>
      <c r="H9" s="18"/>
      <c r="I9" s="20" t="s">
        <v>8</v>
      </c>
      <c r="K9" s="17" t="s">
        <v>8</v>
      </c>
      <c r="L9" s="18"/>
      <c r="M9" s="19" t="s">
        <v>8</v>
      </c>
      <c r="N9" s="18"/>
      <c r="O9" s="20" t="s">
        <v>8</v>
      </c>
      <c r="Q9" s="21" t="s">
        <v>8</v>
      </c>
      <c r="S9" s="257" t="s">
        <v>8</v>
      </c>
      <c r="U9" s="16"/>
      <c r="V9" s="16"/>
      <c r="W9" s="16"/>
      <c r="X9" s="16"/>
    </row>
    <row r="10" spans="3:24">
      <c r="C10" s="10"/>
      <c r="E10" s="51"/>
      <c r="F10" s="27"/>
      <c r="G10" s="173"/>
      <c r="H10" s="29"/>
      <c r="I10" s="30"/>
      <c r="K10" s="26"/>
      <c r="L10" s="27"/>
      <c r="M10" s="42"/>
      <c r="N10" s="29"/>
      <c r="O10" s="30"/>
      <c r="Q10" s="43"/>
      <c r="S10" s="264"/>
      <c r="U10" s="16"/>
      <c r="V10" s="25"/>
      <c r="W10" s="16"/>
      <c r="X10" s="16"/>
    </row>
    <row r="11" spans="3:24">
      <c r="C11" s="44" t="s">
        <v>97</v>
      </c>
      <c r="E11" s="26"/>
      <c r="F11" s="27"/>
      <c r="G11" s="42"/>
      <c r="H11" s="29"/>
      <c r="I11" s="30"/>
      <c r="K11" s="26"/>
      <c r="L11" s="27"/>
      <c r="M11" s="42"/>
      <c r="N11" s="29"/>
      <c r="O11" s="30"/>
      <c r="Q11" s="43"/>
      <c r="S11" s="264"/>
      <c r="U11" s="16"/>
      <c r="V11" s="25"/>
      <c r="W11" s="16"/>
      <c r="X11" s="16"/>
    </row>
    <row r="12" spans="3:24">
      <c r="C12" s="10"/>
      <c r="E12" s="51"/>
      <c r="F12" s="53"/>
      <c r="G12" s="54"/>
      <c r="H12" s="55"/>
      <c r="I12" s="56"/>
      <c r="K12" s="51"/>
      <c r="L12" s="53"/>
      <c r="M12" s="54"/>
      <c r="N12" s="55"/>
      <c r="O12" s="56"/>
      <c r="Q12" s="43"/>
      <c r="S12" s="264"/>
      <c r="U12" s="16"/>
      <c r="V12" s="25"/>
      <c r="W12" s="16"/>
      <c r="X12" s="16"/>
    </row>
    <row r="13" spans="3:24">
      <c r="C13" s="57" t="s">
        <v>13</v>
      </c>
      <c r="E13" s="51"/>
      <c r="F13" s="53"/>
      <c r="G13" s="54"/>
      <c r="H13" s="55"/>
      <c r="I13" s="56"/>
      <c r="K13" s="51"/>
      <c r="L13" s="53"/>
      <c r="M13" s="54"/>
      <c r="N13" s="55"/>
      <c r="O13" s="56"/>
      <c r="Q13" s="43"/>
      <c r="S13" s="264"/>
      <c r="U13" s="16"/>
      <c r="V13" s="25"/>
      <c r="W13" s="16"/>
      <c r="X13" s="16"/>
    </row>
    <row r="14" spans="3:24">
      <c r="C14" s="10" t="s">
        <v>14</v>
      </c>
      <c r="E14" s="26">
        <v>1788.4</v>
      </c>
      <c r="F14" s="27"/>
      <c r="G14" s="42">
        <v>1909.5</v>
      </c>
      <c r="H14" s="29"/>
      <c r="I14" s="30">
        <f>E14-G14</f>
        <v>-121.09999999999991</v>
      </c>
      <c r="K14" s="26">
        <v>17079.7</v>
      </c>
      <c r="L14" s="27"/>
      <c r="M14" s="42">
        <v>18965</v>
      </c>
      <c r="N14" s="29"/>
      <c r="O14" s="30">
        <f>K14-M14</f>
        <v>-1885.2999999999993</v>
      </c>
      <c r="Q14" s="31">
        <v>22595.4</v>
      </c>
      <c r="S14" s="259">
        <v>19806</v>
      </c>
      <c r="U14" s="16">
        <f>M14/7*12</f>
        <v>32511.428571428572</v>
      </c>
      <c r="V14" s="25"/>
      <c r="W14" s="16"/>
      <c r="X14" s="16">
        <f>M14/7*12</f>
        <v>32511.428571428572</v>
      </c>
    </row>
    <row r="15" spans="3:24">
      <c r="C15" s="10" t="s">
        <v>15</v>
      </c>
      <c r="E15" s="26">
        <v>2393.4</v>
      </c>
      <c r="F15" s="27"/>
      <c r="G15" s="42">
        <v>2398.9</v>
      </c>
      <c r="H15" s="29"/>
      <c r="I15" s="30">
        <f>E15-G15</f>
        <v>-5.5</v>
      </c>
      <c r="K15" s="26">
        <v>23809.8</v>
      </c>
      <c r="L15" s="27"/>
      <c r="M15" s="42">
        <v>24029.3</v>
      </c>
      <c r="N15" s="29"/>
      <c r="O15" s="30">
        <f>K15-M15</f>
        <v>-219.5</v>
      </c>
      <c r="Q15" s="31">
        <v>28910.5</v>
      </c>
      <c r="S15" s="259">
        <v>27504</v>
      </c>
      <c r="U15" s="16">
        <f>M15/7*12</f>
        <v>41193.085714285713</v>
      </c>
      <c r="V15" s="16"/>
      <c r="W15" s="16"/>
      <c r="X15" s="16">
        <f>M15/7*12</f>
        <v>41193.085714285713</v>
      </c>
    </row>
    <row r="16" spans="3:24">
      <c r="C16" s="10" t="s">
        <v>16</v>
      </c>
      <c r="E16" s="26">
        <v>1098.0999999999999</v>
      </c>
      <c r="F16" s="27"/>
      <c r="G16" s="42">
        <v>1074.2</v>
      </c>
      <c r="H16" s="29"/>
      <c r="I16" s="30">
        <f>E16-G16</f>
        <v>23.899999999999864</v>
      </c>
      <c r="K16" s="26">
        <v>10926.6</v>
      </c>
      <c r="L16" s="27"/>
      <c r="M16" s="42">
        <v>10588.2</v>
      </c>
      <c r="N16" s="29"/>
      <c r="O16" s="30">
        <f>K16-M16</f>
        <v>338.39999999999964</v>
      </c>
      <c r="Q16" s="31">
        <v>12677.3</v>
      </c>
      <c r="S16" s="259">
        <v>11233</v>
      </c>
      <c r="U16" s="16">
        <f>M16/7*12</f>
        <v>18151.2</v>
      </c>
      <c r="X16" s="16">
        <f>M16/7*12</f>
        <v>18151.2</v>
      </c>
    </row>
    <row r="17" spans="3:24">
      <c r="C17" s="10" t="s">
        <v>17</v>
      </c>
      <c r="E17" s="26">
        <v>613.6</v>
      </c>
      <c r="F17" s="27"/>
      <c r="G17" s="42">
        <v>577</v>
      </c>
      <c r="H17" s="29"/>
      <c r="I17" s="30">
        <f>E17-G17</f>
        <v>36.600000000000023</v>
      </c>
      <c r="K17" s="26">
        <v>6171.7</v>
      </c>
      <c r="L17" s="27"/>
      <c r="M17" s="42">
        <v>5775.5</v>
      </c>
      <c r="N17" s="29"/>
      <c r="O17" s="30">
        <f>K17-M17</f>
        <v>396.19999999999982</v>
      </c>
      <c r="Q17" s="31">
        <v>6898.5</v>
      </c>
      <c r="S17" s="259">
        <v>7191</v>
      </c>
      <c r="U17" s="16">
        <f>M17/7*12</f>
        <v>9900.8571428571431</v>
      </c>
      <c r="X17" s="16">
        <f>M17/7*12</f>
        <v>9900.8571428571431</v>
      </c>
    </row>
    <row r="18" spans="3:24">
      <c r="C18" s="10" t="s">
        <v>18</v>
      </c>
      <c r="E18" s="26">
        <v>864.3</v>
      </c>
      <c r="F18" s="27"/>
      <c r="G18" s="42">
        <v>847.1</v>
      </c>
      <c r="H18" s="29"/>
      <c r="I18" s="30">
        <f>E18-G18</f>
        <v>17.199999999999932</v>
      </c>
      <c r="K18" s="26">
        <v>8516.2999999999993</v>
      </c>
      <c r="L18" s="27"/>
      <c r="M18" s="42">
        <v>8247.2000000000007</v>
      </c>
      <c r="N18" s="29"/>
      <c r="O18" s="30">
        <f>K18-M18</f>
        <v>269.09999999999854</v>
      </c>
      <c r="Q18" s="31">
        <v>10102.4</v>
      </c>
      <c r="S18" s="259">
        <v>9462</v>
      </c>
      <c r="U18" s="16">
        <f>M18/7*12</f>
        <v>14138.057142857142</v>
      </c>
      <c r="X18" s="16">
        <f>M18/7*12</f>
        <v>14138.057142857142</v>
      </c>
    </row>
    <row r="19" spans="3:24">
      <c r="C19" s="44" t="s">
        <v>19</v>
      </c>
      <c r="E19" s="45">
        <f>SUM(E14:E18)</f>
        <v>6757.8</v>
      </c>
      <c r="F19" s="46"/>
      <c r="G19" s="47">
        <f>SUM(G14:G18)</f>
        <v>6806.7</v>
      </c>
      <c r="H19" s="48"/>
      <c r="I19" s="49">
        <f>SUM(I14:I18)</f>
        <v>-48.900000000000091</v>
      </c>
      <c r="K19" s="45">
        <f>SUM(K14:K18)</f>
        <v>66504.099999999991</v>
      </c>
      <c r="L19" s="46"/>
      <c r="M19" s="47">
        <f>SUM(M14:M18)</f>
        <v>67605.2</v>
      </c>
      <c r="N19" s="48"/>
      <c r="O19" s="49">
        <f>SUM(O14:O18)</f>
        <v>-1101.1000000000013</v>
      </c>
      <c r="Q19" s="50">
        <f>SUM(Q14:Q18)</f>
        <v>81184.099999999991</v>
      </c>
      <c r="S19" s="261">
        <f>SUM(S14:S18)</f>
        <v>75196</v>
      </c>
      <c r="U19" s="50">
        <f>SUM(U14:U18)</f>
        <v>115894.62857142856</v>
      </c>
      <c r="X19" s="261">
        <f>SUM(X14:X18)</f>
        <v>115894.62857142856</v>
      </c>
    </row>
    <row r="20" spans="3:24">
      <c r="C20" s="44"/>
      <c r="E20" s="37"/>
      <c r="F20" s="27"/>
      <c r="G20" s="38"/>
      <c r="H20" s="39"/>
      <c r="I20" s="40"/>
      <c r="K20" s="37"/>
      <c r="L20" s="27"/>
      <c r="M20" s="38"/>
      <c r="N20" s="39"/>
      <c r="O20" s="40"/>
      <c r="Q20" s="43"/>
      <c r="S20" s="264"/>
    </row>
    <row r="21" spans="3:24">
      <c r="C21" s="57" t="s">
        <v>20</v>
      </c>
      <c r="E21" s="26"/>
      <c r="F21" s="27"/>
      <c r="G21" s="42"/>
      <c r="H21" s="29"/>
      <c r="I21" s="30"/>
      <c r="K21" s="26"/>
      <c r="L21" s="27"/>
      <c r="M21" s="42"/>
      <c r="N21" s="29"/>
      <c r="O21" s="30"/>
      <c r="Q21" s="43"/>
      <c r="S21" s="264"/>
    </row>
    <row r="22" spans="3:24">
      <c r="C22" s="57" t="s">
        <v>105</v>
      </c>
      <c r="E22" s="26"/>
      <c r="F22" s="27"/>
      <c r="G22" s="42"/>
      <c r="H22" s="29"/>
      <c r="I22" s="30"/>
      <c r="K22" s="26"/>
      <c r="L22" s="27"/>
      <c r="M22" s="42"/>
      <c r="N22" s="29"/>
      <c r="O22" s="30"/>
      <c r="Q22" s="43"/>
      <c r="S22" s="264"/>
    </row>
    <row r="23" spans="3:24">
      <c r="C23" s="76" t="s">
        <v>107</v>
      </c>
      <c r="E23" s="26">
        <v>308.8</v>
      </c>
      <c r="F23" s="27"/>
      <c r="G23" s="42">
        <v>308.7</v>
      </c>
      <c r="H23" s="29"/>
      <c r="I23" s="30">
        <f>E23-G23</f>
        <v>0.10000000000002274</v>
      </c>
      <c r="K23" s="26">
        <v>3093</v>
      </c>
      <c r="L23" s="27"/>
      <c r="M23" s="42">
        <v>3304.3</v>
      </c>
      <c r="N23" s="29"/>
      <c r="O23" s="30">
        <f>K23-M23</f>
        <v>-211.30000000000018</v>
      </c>
      <c r="Q23" s="31">
        <v>4005.8</v>
      </c>
      <c r="S23" s="259">
        <v>3622</v>
      </c>
      <c r="U23" s="16">
        <f>M23/7*12</f>
        <v>5664.5142857142855</v>
      </c>
      <c r="X23" s="16">
        <f>M23/7*12</f>
        <v>5664.5142857142855</v>
      </c>
    </row>
    <row r="24" spans="3:24">
      <c r="C24" s="76" t="s">
        <v>108</v>
      </c>
      <c r="E24" s="26">
        <v>1698.1</v>
      </c>
      <c r="F24" s="27"/>
      <c r="G24" s="42">
        <v>1368.9</v>
      </c>
      <c r="H24" s="29"/>
      <c r="I24" s="30">
        <f>E24-G24</f>
        <v>329.19999999999982</v>
      </c>
      <c r="K24" s="26">
        <v>17901</v>
      </c>
      <c r="L24" s="27"/>
      <c r="M24" s="42">
        <v>18122.900000000001</v>
      </c>
      <c r="N24" s="29"/>
      <c r="O24" s="30">
        <f>K24-M24</f>
        <v>-221.90000000000146</v>
      </c>
      <c r="Q24" s="31">
        <v>21840.3</v>
      </c>
      <c r="S24" s="259">
        <v>20896</v>
      </c>
      <c r="U24" s="16">
        <f>M24/7*12</f>
        <v>31067.828571428574</v>
      </c>
      <c r="V24" s="1">
        <f>G24*12</f>
        <v>16426.800000000003</v>
      </c>
      <c r="X24" s="16">
        <f>M24/7*12</f>
        <v>31067.828571428574</v>
      </c>
    </row>
    <row r="25" spans="3:24">
      <c r="C25" s="76" t="s">
        <v>109</v>
      </c>
      <c r="E25" s="32">
        <v>66.5</v>
      </c>
      <c r="F25" s="33"/>
      <c r="G25" s="42">
        <v>108.5</v>
      </c>
      <c r="H25" s="33"/>
      <c r="I25" s="35">
        <f>E25-G25</f>
        <v>-42</v>
      </c>
      <c r="K25" s="32">
        <v>667.4</v>
      </c>
      <c r="L25" s="33"/>
      <c r="M25" s="42">
        <v>990.8</v>
      </c>
      <c r="N25" s="34"/>
      <c r="O25" s="35">
        <f>K25-M25</f>
        <v>-323.39999999999998</v>
      </c>
      <c r="Q25" s="36">
        <v>1175.8</v>
      </c>
      <c r="S25" s="260">
        <v>716</v>
      </c>
      <c r="U25" s="16">
        <f>M25/7*12</f>
        <v>1698.5142857142857</v>
      </c>
      <c r="X25" s="16">
        <f>M25/7*12</f>
        <v>1698.5142857142857</v>
      </c>
    </row>
    <row r="26" spans="3:24">
      <c r="C26" s="172" t="s">
        <v>106</v>
      </c>
      <c r="E26" s="37">
        <f>SUM(E23:E25)</f>
        <v>2073.3999999999996</v>
      </c>
      <c r="F26" s="27"/>
      <c r="G26" s="177">
        <f>SUM(G23:G25)</f>
        <v>1786.1000000000001</v>
      </c>
      <c r="H26" s="29"/>
      <c r="I26" s="40">
        <f>SUM(I23:I25)</f>
        <v>287.29999999999984</v>
      </c>
      <c r="K26" s="37">
        <f>SUM(K23:K25)</f>
        <v>21661.4</v>
      </c>
      <c r="L26" s="27"/>
      <c r="M26" s="177">
        <f>SUM(M23:M25)</f>
        <v>22418</v>
      </c>
      <c r="N26" s="29"/>
      <c r="O26" s="40">
        <f>SUM(O23:O25)</f>
        <v>-756.60000000000161</v>
      </c>
      <c r="Q26" s="24">
        <f>SUM(Q23:Q25)</f>
        <v>27021.899999999998</v>
      </c>
      <c r="S26" s="258">
        <f>SUM(S23:S25)</f>
        <v>25234</v>
      </c>
      <c r="U26" s="24">
        <f>SUM(U23:U25)</f>
        <v>38430.857142857145</v>
      </c>
      <c r="X26" s="258">
        <f>SUM(X23:X25)-1</f>
        <v>38429.857142857145</v>
      </c>
    </row>
    <row r="27" spans="3:24">
      <c r="C27" s="57" t="s">
        <v>110</v>
      </c>
      <c r="E27" s="37"/>
      <c r="F27" s="27"/>
      <c r="G27" s="42"/>
      <c r="H27" s="29"/>
      <c r="I27" s="30"/>
      <c r="K27" s="37"/>
      <c r="L27" s="27"/>
      <c r="M27" s="42"/>
      <c r="N27" s="29"/>
      <c r="O27" s="30"/>
      <c r="Q27" s="43"/>
      <c r="S27" s="264"/>
    </row>
    <row r="28" spans="3:24">
      <c r="C28" s="171" t="s">
        <v>111</v>
      </c>
      <c r="E28" s="26">
        <v>918.1</v>
      </c>
      <c r="F28" s="27"/>
      <c r="G28" s="42">
        <v>833.9</v>
      </c>
      <c r="H28" s="29"/>
      <c r="I28" s="30">
        <f>E28-G28</f>
        <v>84.200000000000045</v>
      </c>
      <c r="K28" s="26">
        <v>4765.1000000000004</v>
      </c>
      <c r="L28" s="27"/>
      <c r="M28" s="42">
        <v>4697.6000000000004</v>
      </c>
      <c r="N28" s="29"/>
      <c r="O28" s="30">
        <f>K28-M28</f>
        <v>67.5</v>
      </c>
      <c r="Q28" s="31">
        <v>5097.8999999999996</v>
      </c>
      <c r="S28" s="259">
        <v>4357</v>
      </c>
      <c r="U28" s="16">
        <f>M28/7*12</f>
        <v>8053.028571428571</v>
      </c>
      <c r="X28" s="16">
        <f>M28/7*12</f>
        <v>8053.028571428571</v>
      </c>
    </row>
    <row r="29" spans="3:24">
      <c r="C29" s="171" t="s">
        <v>112</v>
      </c>
      <c r="E29" s="26">
        <v>521.1</v>
      </c>
      <c r="F29" s="27"/>
      <c r="G29" s="42">
        <v>526.5</v>
      </c>
      <c r="H29" s="29"/>
      <c r="I29" s="30">
        <f>E29-G29</f>
        <v>-5.3999999999999773</v>
      </c>
      <c r="K29" s="26">
        <v>5376.6</v>
      </c>
      <c r="L29" s="27"/>
      <c r="M29" s="42">
        <v>5276.2</v>
      </c>
      <c r="N29" s="29"/>
      <c r="O29" s="30">
        <f>K29-M29</f>
        <v>100.40000000000055</v>
      </c>
      <c r="Q29" s="31">
        <v>6366.4</v>
      </c>
      <c r="S29" s="259">
        <v>6446</v>
      </c>
      <c r="U29" s="16">
        <f>M29/7*12</f>
        <v>9044.9142857142851</v>
      </c>
      <c r="X29" s="16">
        <f>M29/7*12</f>
        <v>9044.9142857142851</v>
      </c>
    </row>
    <row r="30" spans="3:24">
      <c r="C30" s="171" t="s">
        <v>113</v>
      </c>
      <c r="E30" s="32">
        <v>-54</v>
      </c>
      <c r="F30" s="33"/>
      <c r="G30" s="174">
        <v>422.9</v>
      </c>
      <c r="H30" s="34"/>
      <c r="I30" s="35">
        <f>E30-G30</f>
        <v>-476.9</v>
      </c>
      <c r="K30" s="32">
        <v>4269.7</v>
      </c>
      <c r="L30" s="33"/>
      <c r="M30" s="174">
        <v>3712.6</v>
      </c>
      <c r="N30" s="34"/>
      <c r="O30" s="35">
        <f>K30-M30</f>
        <v>557.09999999999991</v>
      </c>
      <c r="Q30" s="36">
        <v>7364.7</v>
      </c>
      <c r="S30" s="260">
        <f>14160-1</f>
        <v>14159</v>
      </c>
      <c r="U30" s="16">
        <f>M30/7*12</f>
        <v>6364.4571428571417</v>
      </c>
      <c r="X30" s="16">
        <f>M30/7*12</f>
        <v>6364.4571428571417</v>
      </c>
    </row>
    <row r="31" spans="3:24">
      <c r="C31" s="175" t="s">
        <v>114</v>
      </c>
      <c r="E31" s="37">
        <f>SUM(E28:E30)</f>
        <v>1385.2</v>
      </c>
      <c r="F31" s="27"/>
      <c r="G31" s="38">
        <f>SUM(G28:G30)</f>
        <v>1783.3000000000002</v>
      </c>
      <c r="H31" s="29"/>
      <c r="I31" s="40">
        <f>SUM(I28:I30)</f>
        <v>-398.09999999999991</v>
      </c>
      <c r="K31" s="37">
        <f>SUM(K28:K30)</f>
        <v>14411.400000000001</v>
      </c>
      <c r="L31" s="27"/>
      <c r="M31" s="243">
        <f>SUM(M28:M30)</f>
        <v>13686.4</v>
      </c>
      <c r="N31" s="29"/>
      <c r="O31" s="40">
        <f>SUM(O28:O30)</f>
        <v>725.00000000000045</v>
      </c>
      <c r="Q31" s="24">
        <f>SUM(Q28:Q30)</f>
        <v>18829</v>
      </c>
      <c r="S31" s="258">
        <f>SUM(S28:S30)</f>
        <v>24962</v>
      </c>
      <c r="U31" s="24">
        <f>SUM(U28:U30)</f>
        <v>23462.400000000001</v>
      </c>
      <c r="X31" s="258">
        <f>SUM(X28:X30)</f>
        <v>23462.400000000001</v>
      </c>
    </row>
    <row r="32" spans="3:24">
      <c r="C32" s="175"/>
      <c r="E32" s="37"/>
      <c r="F32" s="27"/>
      <c r="G32" s="38"/>
      <c r="H32" s="29"/>
      <c r="I32" s="40"/>
      <c r="K32" s="26"/>
      <c r="L32" s="27"/>
      <c r="M32" s="42"/>
      <c r="N32" s="29"/>
      <c r="O32" s="30"/>
      <c r="Q32" s="31"/>
      <c r="S32" s="259"/>
    </row>
    <row r="33" spans="3:25">
      <c r="C33" s="44" t="s">
        <v>115</v>
      </c>
      <c r="E33" s="45">
        <f>E26+E31+1</f>
        <v>3459.5999999999995</v>
      </c>
      <c r="F33" s="46"/>
      <c r="G33" s="47">
        <f>G31+G26</f>
        <v>3569.4000000000005</v>
      </c>
      <c r="H33" s="48"/>
      <c r="I33" s="49">
        <f>I31+I26</f>
        <v>-110.80000000000007</v>
      </c>
      <c r="K33" s="45">
        <f>K26+K31</f>
        <v>36072.800000000003</v>
      </c>
      <c r="L33" s="46"/>
      <c r="M33" s="47">
        <f>M31+M26</f>
        <v>36104.400000000001</v>
      </c>
      <c r="N33" s="48"/>
      <c r="O33" s="49">
        <f>O31+O26</f>
        <v>-31.60000000000116</v>
      </c>
      <c r="Q33" s="50">
        <f>Q26+Q31</f>
        <v>45850.899999999994</v>
      </c>
      <c r="S33" s="261">
        <f>S26+S31-1</f>
        <v>50195</v>
      </c>
      <c r="U33" s="50">
        <f>U26+U31</f>
        <v>61893.257142857146</v>
      </c>
      <c r="X33" s="261">
        <f>X26+X31-1</f>
        <v>61891.257142857146</v>
      </c>
    </row>
    <row r="34" spans="3:25">
      <c r="C34" s="44"/>
      <c r="E34" s="37"/>
      <c r="F34" s="27"/>
      <c r="G34" s="38"/>
      <c r="H34" s="39"/>
      <c r="I34" s="40"/>
      <c r="K34" s="37"/>
      <c r="L34" s="27"/>
      <c r="M34" s="38"/>
      <c r="N34" s="39"/>
      <c r="O34" s="40"/>
      <c r="Q34" s="43"/>
      <c r="S34" s="264"/>
    </row>
    <row r="35" spans="3:25">
      <c r="C35" s="10"/>
      <c r="E35" s="26"/>
      <c r="F35" s="27"/>
      <c r="G35" s="42"/>
      <c r="H35" s="29"/>
      <c r="I35" s="30"/>
      <c r="K35" s="26"/>
      <c r="L35" s="27"/>
      <c r="M35" s="42"/>
      <c r="N35" s="29"/>
      <c r="O35" s="30"/>
      <c r="Q35" s="43"/>
      <c r="S35" s="264"/>
    </row>
    <row r="36" spans="3:25">
      <c r="C36" s="44" t="s">
        <v>28</v>
      </c>
      <c r="E36" s="45">
        <f>SUM(E35:E35)+E33+E19</f>
        <v>10217.4</v>
      </c>
      <c r="F36" s="46"/>
      <c r="G36" s="47">
        <f>SUM(G35:G35)+G33+G19</f>
        <v>10376.1</v>
      </c>
      <c r="H36" s="48"/>
      <c r="I36" s="49">
        <f>SUM(I35:I35)+I33+I19</f>
        <v>-159.70000000000016</v>
      </c>
      <c r="K36" s="45">
        <f>SUM(K35:K35)+K33+K19+1</f>
        <v>102577.9</v>
      </c>
      <c r="L36" s="46"/>
      <c r="M36" s="47">
        <f>SUM(M35:M35)+M33+M19</f>
        <v>103709.6</v>
      </c>
      <c r="N36" s="48"/>
      <c r="O36" s="49">
        <f>SUM(O35:O35)+O33+O19</f>
        <v>-1132.7000000000025</v>
      </c>
      <c r="Q36" s="50">
        <f>SUM(Q35:Q35)+Q33+Q19</f>
        <v>127034.99999999999</v>
      </c>
      <c r="S36" s="261">
        <f>SUM(S35:S35)+S33+S19+1</f>
        <v>125392</v>
      </c>
      <c r="U36" s="50">
        <f>SUM(U35:U35)+U33+U19</f>
        <v>177787.88571428572</v>
      </c>
      <c r="X36" s="261">
        <f>SUM(X35:X35)+X33+X19+1</f>
        <v>177786.88571428572</v>
      </c>
    </row>
    <row r="37" spans="3:25" ht="13.5" thickBot="1">
      <c r="C37" s="62"/>
      <c r="E37" s="63"/>
      <c r="F37" s="64"/>
      <c r="G37" s="65"/>
      <c r="H37" s="66"/>
      <c r="I37" s="67"/>
      <c r="K37" s="63"/>
      <c r="L37" s="64"/>
      <c r="M37" s="65"/>
      <c r="N37" s="66"/>
      <c r="O37" s="67"/>
      <c r="Q37" s="68"/>
      <c r="S37" s="265"/>
      <c r="U37" s="217" t="e">
        <f>#REF!-#REF!</f>
        <v>#REF!</v>
      </c>
      <c r="V37" s="217" t="e">
        <f>#REF!+#REF!</f>
        <v>#REF!</v>
      </c>
      <c r="W37" s="1" t="e">
        <f>#REF!-500</f>
        <v>#REF!</v>
      </c>
      <c r="X37" s="61"/>
      <c r="Y37" s="69"/>
    </row>
    <row r="38" spans="3:25">
      <c r="C38" s="73"/>
      <c r="E38" s="55"/>
      <c r="F38" s="55"/>
      <c r="G38" s="55"/>
      <c r="H38" s="55"/>
      <c r="I38" s="29"/>
      <c r="K38" s="55"/>
      <c r="L38" s="55"/>
      <c r="M38" s="55"/>
      <c r="N38" s="55"/>
      <c r="O38" s="253"/>
      <c r="Q38" s="55"/>
      <c r="S38" s="266"/>
      <c r="U38" s="217" t="e">
        <f>U37-500</f>
        <v>#REF!</v>
      </c>
      <c r="V38" s="217" t="e">
        <f>V37+500</f>
        <v>#REF!</v>
      </c>
      <c r="W38" s="217" t="e">
        <f>W37-#REF!</f>
        <v>#REF!</v>
      </c>
      <c r="X38" s="1">
        <v>121805</v>
      </c>
    </row>
    <row r="39" spans="3:25" hidden="1">
      <c r="E39" s="249" t="s">
        <v>168</v>
      </c>
      <c r="Q39" s="250" t="s">
        <v>169</v>
      </c>
      <c r="U39" s="217" t="e">
        <f>#REF!-#REF!</f>
        <v>#REF!</v>
      </c>
      <c r="V39" s="217" t="e">
        <f>#REF!-#REF!</f>
        <v>#REF!</v>
      </c>
    </row>
    <row r="40" spans="3:25" hidden="1">
      <c r="O40" s="244"/>
      <c r="Q40" s="250" t="s">
        <v>170</v>
      </c>
    </row>
    <row r="41" spans="3:25">
      <c r="S41" s="270"/>
      <c r="X41" s="217">
        <f>X38-Q36</f>
        <v>-5229.9999999999854</v>
      </c>
    </row>
  </sheetData>
  <mergeCells count="2">
    <mergeCell ref="K7:O7"/>
    <mergeCell ref="E7:I7"/>
  </mergeCells>
  <phoneticPr fontId="7" type="noConversion"/>
  <printOptions horizontalCentered="1"/>
  <pageMargins left="0.27" right="0.26" top="0.23622047244094491" bottom="0.31" header="0.19685039370078741" footer="0.23622047244094491"/>
  <pageSetup paperSize="9" scale="99" orientation="landscape" cellComments="asDisplayed" horizontalDpi="4294967293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C1:X29"/>
  <sheetViews>
    <sheetView workbookViewId="0">
      <selection activeCell="M25" sqref="M25"/>
    </sheetView>
  </sheetViews>
  <sheetFormatPr defaultRowHeight="12.75"/>
  <cols>
    <col min="1" max="1" width="9.140625" style="1"/>
    <col min="2" max="2" width="2.7109375" style="1" customWidth="1"/>
    <col min="3" max="3" width="33.140625" style="1" bestFit="1" customWidth="1"/>
    <col min="4" max="4" width="2.7109375" style="1" customWidth="1"/>
    <col min="5" max="5" width="11.42578125" style="2" customWidth="1"/>
    <col min="6" max="6" width="1.85546875" style="2" customWidth="1"/>
    <col min="7" max="7" width="9.28515625" style="2" customWidth="1"/>
    <col min="8" max="8" width="3.42578125" style="2" customWidth="1"/>
    <col min="9" max="9" width="9.7109375" style="2" customWidth="1"/>
    <col min="10" max="10" width="2.7109375" style="1" customWidth="1"/>
    <col min="11" max="11" width="11.28515625" style="2" customWidth="1"/>
    <col min="12" max="12" width="2.7109375" style="2" customWidth="1"/>
    <col min="13" max="13" width="11.28515625" style="2" bestFit="1" customWidth="1"/>
    <col min="14" max="14" width="2.7109375" style="2" customWidth="1"/>
    <col min="15" max="15" width="10.140625" style="2" bestFit="1" customWidth="1"/>
    <col min="16" max="16" width="2.7109375" style="1" customWidth="1"/>
    <col min="17" max="17" width="13" style="3" customWidth="1"/>
    <col min="18" max="18" width="2.7109375" style="1" customWidth="1"/>
    <col min="19" max="19" width="15.5703125" style="1" customWidth="1"/>
    <col min="20" max="20" width="2.7109375" style="1" customWidth="1"/>
    <col min="21" max="21" width="9.140625" style="1"/>
    <col min="22" max="22" width="17.42578125" style="1" bestFit="1" customWidth="1"/>
    <col min="23" max="23" width="9.140625" style="1"/>
    <col min="24" max="24" width="11.28515625" style="1" bestFit="1" customWidth="1"/>
    <col min="25" max="16384" width="9.140625" style="1"/>
  </cols>
  <sheetData>
    <row r="1" spans="3:24">
      <c r="J1" s="2"/>
    </row>
    <row r="2" spans="3:24">
      <c r="J2" s="2"/>
    </row>
    <row r="3" spans="3:24">
      <c r="C3" s="4" t="s">
        <v>196</v>
      </c>
      <c r="I3" s="5"/>
      <c r="J3" s="2"/>
      <c r="M3" s="6">
        <v>-40726.600127729762</v>
      </c>
    </row>
    <row r="4" spans="3:24">
      <c r="C4" s="4" t="str">
        <f>Summary!C4</f>
        <v>2016-17 - January 2017</v>
      </c>
      <c r="J4" s="2"/>
      <c r="Q4" s="2"/>
    </row>
    <row r="5" spans="3:24">
      <c r="C5" s="7"/>
    </row>
    <row r="6" spans="3:24" ht="13.5" thickBot="1">
      <c r="C6" s="7"/>
    </row>
    <row r="7" spans="3:24">
      <c r="C7" s="8" t="s">
        <v>194</v>
      </c>
      <c r="E7" s="306" t="str">
        <f>Summary!E7</f>
        <v>January</v>
      </c>
      <c r="F7" s="297"/>
      <c r="G7" s="297"/>
      <c r="H7" s="297"/>
      <c r="I7" s="298"/>
      <c r="K7" s="296" t="s">
        <v>1</v>
      </c>
      <c r="L7" s="297"/>
      <c r="M7" s="297"/>
      <c r="N7" s="297"/>
      <c r="O7" s="298"/>
      <c r="Q7" s="255" t="s">
        <v>2</v>
      </c>
      <c r="S7" s="9" t="s">
        <v>3</v>
      </c>
    </row>
    <row r="8" spans="3:24">
      <c r="C8" s="10"/>
      <c r="E8" s="238" t="s">
        <v>4</v>
      </c>
      <c r="F8" s="239"/>
      <c r="G8" s="240" t="s">
        <v>5</v>
      </c>
      <c r="H8" s="12"/>
      <c r="I8" s="14" t="s">
        <v>6</v>
      </c>
      <c r="K8" s="238" t="s">
        <v>4</v>
      </c>
      <c r="L8" s="239"/>
      <c r="M8" s="240" t="s">
        <v>5</v>
      </c>
      <c r="N8" s="12"/>
      <c r="O8" s="14" t="s">
        <v>6</v>
      </c>
      <c r="Q8" s="256" t="s">
        <v>7</v>
      </c>
      <c r="S8" s="15" t="s">
        <v>4</v>
      </c>
      <c r="U8" s="16"/>
      <c r="V8" s="16"/>
      <c r="W8" s="16"/>
      <c r="X8" s="16"/>
    </row>
    <row r="9" spans="3:24">
      <c r="C9" s="10"/>
      <c r="E9" s="17" t="s">
        <v>8</v>
      </c>
      <c r="F9" s="18"/>
      <c r="G9" s="19" t="s">
        <v>8</v>
      </c>
      <c r="H9" s="18"/>
      <c r="I9" s="20" t="s">
        <v>8</v>
      </c>
      <c r="K9" s="17" t="s">
        <v>8</v>
      </c>
      <c r="L9" s="18"/>
      <c r="M9" s="19" t="s">
        <v>8</v>
      </c>
      <c r="N9" s="18"/>
      <c r="O9" s="20" t="s">
        <v>8</v>
      </c>
      <c r="Q9" s="257" t="s">
        <v>8</v>
      </c>
      <c r="S9" s="21" t="s">
        <v>8</v>
      </c>
      <c r="U9" s="16"/>
      <c r="V9" s="16"/>
      <c r="W9" s="16"/>
      <c r="X9" s="16"/>
    </row>
    <row r="10" spans="3:24" ht="5.25" customHeight="1">
      <c r="C10" s="10"/>
      <c r="E10" s="11"/>
      <c r="F10" s="22"/>
      <c r="G10" s="22"/>
      <c r="H10" s="12"/>
      <c r="I10" s="23"/>
      <c r="K10" s="11"/>
      <c r="L10" s="22"/>
      <c r="M10" s="22"/>
      <c r="N10" s="12"/>
      <c r="O10" s="23"/>
      <c r="Q10" s="258"/>
      <c r="S10" s="24"/>
      <c r="U10" s="16"/>
      <c r="V10" s="16"/>
      <c r="W10" s="16"/>
      <c r="X10" s="16"/>
    </row>
    <row r="11" spans="3:24">
      <c r="C11" s="44" t="s">
        <v>178</v>
      </c>
      <c r="E11" s="277"/>
      <c r="F11" s="27"/>
      <c r="G11" s="38"/>
      <c r="H11" s="39"/>
      <c r="I11" s="40"/>
      <c r="K11" s="37"/>
      <c r="L11" s="27"/>
      <c r="M11" s="38"/>
      <c r="N11" s="39"/>
      <c r="O11" s="40"/>
      <c r="Q11" s="258"/>
      <c r="S11" s="24"/>
      <c r="U11" s="16"/>
      <c r="V11" s="16"/>
      <c r="W11" s="16"/>
      <c r="X11" s="16"/>
    </row>
    <row r="12" spans="3:24">
      <c r="C12" s="74" t="s">
        <v>22</v>
      </c>
      <c r="E12" s="278">
        <v>-520</v>
      </c>
      <c r="F12" s="27"/>
      <c r="G12" s="42">
        <v>-520</v>
      </c>
      <c r="H12" s="29"/>
      <c r="I12" s="30">
        <f>E12-G12</f>
        <v>0</v>
      </c>
      <c r="K12" s="26">
        <v>-5204</v>
      </c>
      <c r="L12" s="27"/>
      <c r="M12" s="289">
        <v>-5204</v>
      </c>
      <c r="N12" s="29"/>
      <c r="O12" s="30">
        <f>K12-M12</f>
        <v>0</v>
      </c>
      <c r="Q12" s="269">
        <f>-6246.00036+1</f>
        <v>-6245.00036</v>
      </c>
      <c r="R12" s="73"/>
      <c r="S12" s="78">
        <f>Q12</f>
        <v>-6245.00036</v>
      </c>
      <c r="U12" s="16"/>
      <c r="V12" s="16"/>
      <c r="W12" s="16"/>
      <c r="X12" s="16"/>
    </row>
    <row r="13" spans="3:24">
      <c r="C13" s="74" t="s">
        <v>23</v>
      </c>
      <c r="E13" s="278">
        <v>0</v>
      </c>
      <c r="F13" s="27"/>
      <c r="G13" s="42">
        <v>0</v>
      </c>
      <c r="H13" s="29"/>
      <c r="I13" s="30">
        <f>E13-G13</f>
        <v>0</v>
      </c>
      <c r="K13" s="26">
        <v>0</v>
      </c>
      <c r="L13" s="27"/>
      <c r="M13" s="275">
        <v>0</v>
      </c>
      <c r="N13" s="29"/>
      <c r="O13" s="30">
        <f>K13-M13</f>
        <v>0</v>
      </c>
      <c r="Q13" s="269">
        <v>-500</v>
      </c>
      <c r="R13" s="73"/>
      <c r="S13" s="78">
        <v>-500</v>
      </c>
      <c r="U13" s="16"/>
      <c r="V13" s="16"/>
      <c r="W13" s="16"/>
      <c r="X13" s="25"/>
    </row>
    <row r="14" spans="3:24">
      <c r="C14" s="74" t="s">
        <v>179</v>
      </c>
      <c r="E14" s="278"/>
      <c r="F14" s="27"/>
      <c r="G14" s="42">
        <v>0</v>
      </c>
      <c r="H14" s="29"/>
      <c r="I14" s="30">
        <f>E14-G14</f>
        <v>0</v>
      </c>
      <c r="K14" s="26">
        <v>0</v>
      </c>
      <c r="L14" s="27"/>
      <c r="M14" s="289">
        <v>-775</v>
      </c>
      <c r="N14" s="29"/>
      <c r="O14" s="30">
        <f>K14-M14</f>
        <v>775</v>
      </c>
      <c r="Q14" s="269">
        <v>-40</v>
      </c>
      <c r="R14" s="73"/>
      <c r="S14" s="78">
        <v>-40</v>
      </c>
      <c r="U14" s="16"/>
      <c r="V14" s="16"/>
      <c r="W14" s="16"/>
      <c r="X14" s="25"/>
    </row>
    <row r="15" spans="3:24">
      <c r="C15" s="74" t="s">
        <v>22</v>
      </c>
      <c r="E15" s="285">
        <v>0</v>
      </c>
      <c r="F15" s="286"/>
      <c r="G15" s="287">
        <v>0</v>
      </c>
      <c r="H15" s="288"/>
      <c r="I15" s="30">
        <f>E15-G15</f>
        <v>0</v>
      </c>
      <c r="J15" s="274"/>
      <c r="K15" s="77">
        <v>0</v>
      </c>
      <c r="L15" s="283"/>
      <c r="M15" s="291">
        <v>0</v>
      </c>
      <c r="N15" s="39"/>
      <c r="O15" s="30">
        <f>K15-M15</f>
        <v>0</v>
      </c>
      <c r="Q15" s="281">
        <v>-1</v>
      </c>
      <c r="S15" s="24">
        <v>-1</v>
      </c>
      <c r="U15" s="16"/>
      <c r="V15" s="16"/>
      <c r="W15" s="16"/>
      <c r="X15" s="25"/>
    </row>
    <row r="16" spans="3:24">
      <c r="C16" s="44" t="s">
        <v>197</v>
      </c>
      <c r="E16" s="45">
        <f>SUM(E12:E15)</f>
        <v>-520</v>
      </c>
      <c r="F16" s="33"/>
      <c r="G16" s="271">
        <f>SUM(G12:G15)</f>
        <v>-520</v>
      </c>
      <c r="H16" s="48"/>
      <c r="I16" s="49">
        <f>SUM(I12:I15)</f>
        <v>0</v>
      </c>
      <c r="K16" s="45">
        <f>SUM(K12:K15)</f>
        <v>-5204</v>
      </c>
      <c r="L16" s="46"/>
      <c r="M16" s="47">
        <f>SUM(M12:M15)</f>
        <v>-5979</v>
      </c>
      <c r="N16" s="48"/>
      <c r="O16" s="49">
        <f>SUM(O12:O15)</f>
        <v>775</v>
      </c>
      <c r="Q16" s="261">
        <f>SUM(Q12:Q15)</f>
        <v>-6786.00036</v>
      </c>
      <c r="S16" s="261">
        <f>SUM(S12:S15)</f>
        <v>-6786.00036</v>
      </c>
      <c r="U16" s="16"/>
      <c r="V16" s="16"/>
      <c r="W16" s="16"/>
      <c r="X16" s="25"/>
    </row>
    <row r="17" spans="3:24">
      <c r="C17" s="44"/>
      <c r="E17" s="37"/>
      <c r="F17" s="27"/>
      <c r="G17" s="38"/>
      <c r="H17" s="39"/>
      <c r="I17" s="40"/>
      <c r="K17" s="37"/>
      <c r="L17" s="27"/>
      <c r="M17" s="38"/>
      <c r="N17" s="39"/>
      <c r="O17" s="40"/>
      <c r="Q17" s="258"/>
      <c r="S17" s="258"/>
      <c r="U17" s="16"/>
      <c r="V17" s="16"/>
      <c r="W17" s="16"/>
      <c r="X17" s="25"/>
    </row>
    <row r="18" spans="3:24">
      <c r="C18" s="44" t="s">
        <v>98</v>
      </c>
      <c r="E18" s="37"/>
      <c r="F18" s="27"/>
      <c r="G18" s="38"/>
      <c r="H18" s="39"/>
      <c r="I18" s="40"/>
      <c r="K18" s="37"/>
      <c r="L18" s="27"/>
      <c r="M18" s="38"/>
      <c r="N18" s="39"/>
      <c r="O18" s="40"/>
      <c r="Q18" s="24"/>
      <c r="S18" s="258"/>
      <c r="U18" s="16"/>
      <c r="V18" s="16"/>
      <c r="W18" s="16"/>
      <c r="X18" s="25"/>
    </row>
    <row r="19" spans="3:24">
      <c r="C19" s="10" t="s">
        <v>22</v>
      </c>
      <c r="E19" s="59">
        <v>520</v>
      </c>
      <c r="F19" s="176"/>
      <c r="G19" s="60">
        <v>542</v>
      </c>
      <c r="H19" s="39"/>
      <c r="I19" s="30">
        <f>E19-G19-1</f>
        <v>-23</v>
      </c>
      <c r="K19" s="59">
        <v>5204</v>
      </c>
      <c r="L19" s="176"/>
      <c r="M19" s="60">
        <v>5301</v>
      </c>
      <c r="N19" s="39"/>
      <c r="O19" s="30">
        <f>K19-M19</f>
        <v>-97</v>
      </c>
      <c r="Q19" s="31">
        <f>S19</f>
        <v>6245</v>
      </c>
      <c r="S19" s="269">
        <v>6245</v>
      </c>
      <c r="U19" s="16"/>
      <c r="V19" s="16"/>
      <c r="W19" s="16"/>
      <c r="X19" s="25"/>
    </row>
    <row r="20" spans="3:24" ht="16.5" customHeight="1">
      <c r="C20" s="71" t="s">
        <v>201</v>
      </c>
      <c r="E20" s="59">
        <v>0</v>
      </c>
      <c r="F20" s="176"/>
      <c r="G20" s="60">
        <v>0</v>
      </c>
      <c r="H20" s="39"/>
      <c r="I20" s="30">
        <f>E20-G20</f>
        <v>0</v>
      </c>
      <c r="K20" s="59">
        <v>0</v>
      </c>
      <c r="L20" s="176"/>
      <c r="M20" s="60">
        <v>0</v>
      </c>
      <c r="N20" s="39"/>
      <c r="O20" s="30">
        <f>K20-M20</f>
        <v>0</v>
      </c>
      <c r="Q20" s="31">
        <v>500</v>
      </c>
      <c r="S20" s="269">
        <v>500</v>
      </c>
      <c r="U20" s="16"/>
      <c r="V20" s="16"/>
      <c r="W20" s="16"/>
      <c r="X20" s="25"/>
    </row>
    <row r="21" spans="3:24">
      <c r="C21" s="71" t="s">
        <v>24</v>
      </c>
      <c r="E21" s="59">
        <v>0</v>
      </c>
      <c r="F21" s="176"/>
      <c r="G21" s="60">
        <v>0</v>
      </c>
      <c r="H21" s="39"/>
      <c r="I21" s="30">
        <f>E21-G21</f>
        <v>0</v>
      </c>
      <c r="K21" s="59">
        <v>0</v>
      </c>
      <c r="L21" s="176"/>
      <c r="M21" s="276">
        <v>865</v>
      </c>
      <c r="N21" s="39"/>
      <c r="O21" s="30">
        <f>K21-M21</f>
        <v>-865</v>
      </c>
      <c r="Q21" s="31">
        <f>S21</f>
        <v>40</v>
      </c>
      <c r="S21" s="269">
        <v>40</v>
      </c>
      <c r="U21" s="16"/>
      <c r="V21" s="16"/>
      <c r="W21" s="16"/>
      <c r="X21" s="16"/>
    </row>
    <row r="22" spans="3:24">
      <c r="C22" s="71" t="s">
        <v>200</v>
      </c>
      <c r="E22" s="59">
        <v>0</v>
      </c>
      <c r="F22" s="176"/>
      <c r="G22" s="60">
        <v>0</v>
      </c>
      <c r="H22" s="39"/>
      <c r="I22" s="30">
        <v>0</v>
      </c>
      <c r="K22" s="59">
        <v>0</v>
      </c>
      <c r="L22" s="176"/>
      <c r="M22" s="276">
        <v>0</v>
      </c>
      <c r="N22" s="39"/>
      <c r="O22" s="35">
        <f>K22-M22</f>
        <v>0</v>
      </c>
      <c r="Q22" s="31">
        <v>1</v>
      </c>
      <c r="S22" s="269">
        <v>1</v>
      </c>
      <c r="U22" s="16"/>
      <c r="V22" s="16"/>
      <c r="W22" s="16"/>
      <c r="X22" s="16"/>
    </row>
    <row r="23" spans="3:24">
      <c r="C23" s="44" t="s">
        <v>29</v>
      </c>
      <c r="E23" s="45">
        <f>SUM(E19:E22)</f>
        <v>520</v>
      </c>
      <c r="F23" s="48"/>
      <c r="G23" s="47">
        <f>SUM(G19:G22)+0.7</f>
        <v>542.70000000000005</v>
      </c>
      <c r="H23" s="75"/>
      <c r="I23" s="49">
        <f>SUM(I19:I21)</f>
        <v>-23</v>
      </c>
      <c r="K23" s="45">
        <f>SUM(K19:K22)</f>
        <v>5204</v>
      </c>
      <c r="L23" s="48"/>
      <c r="M23" s="47">
        <f>SUM(M19:M22)</f>
        <v>6166</v>
      </c>
      <c r="N23" s="75"/>
      <c r="O23" s="290">
        <f>SUM(O19:O21)</f>
        <v>-962</v>
      </c>
      <c r="Q23" s="50">
        <f>SUM(Q19:Q22)</f>
        <v>6786</v>
      </c>
      <c r="S23" s="261">
        <f>SUM(S19:S22)</f>
        <v>6786</v>
      </c>
      <c r="U23" s="16"/>
      <c r="V23" s="16"/>
      <c r="W23" s="16"/>
      <c r="X23" s="16"/>
    </row>
    <row r="24" spans="3:24">
      <c r="C24" s="10"/>
      <c r="E24" s="26"/>
      <c r="F24" s="27"/>
      <c r="G24" s="42"/>
      <c r="H24" s="29"/>
      <c r="I24" s="30"/>
      <c r="K24" s="26"/>
      <c r="L24" s="27"/>
      <c r="M24" s="42"/>
      <c r="N24" s="29"/>
      <c r="O24" s="30"/>
      <c r="Q24" s="262"/>
      <c r="S24" s="10"/>
      <c r="U24" s="16"/>
      <c r="V24" s="16"/>
      <c r="W24" s="16"/>
      <c r="X24" s="16"/>
    </row>
    <row r="25" spans="3:24">
      <c r="C25" s="44" t="s">
        <v>195</v>
      </c>
      <c r="E25" s="45">
        <f>E16+E23</f>
        <v>0</v>
      </c>
      <c r="F25" s="46"/>
      <c r="G25" s="47">
        <f>-(G16+G23)</f>
        <v>-22.700000000000045</v>
      </c>
      <c r="H25" s="48"/>
      <c r="I25" s="49">
        <f>(I16+I23)</f>
        <v>-23</v>
      </c>
      <c r="K25" s="45">
        <f>K16+K23</f>
        <v>0</v>
      </c>
      <c r="L25" s="46"/>
      <c r="M25" s="47">
        <f>-(M16+M23)</f>
        <v>-187</v>
      </c>
      <c r="N25" s="48"/>
      <c r="O25" s="49">
        <f>(O16+O23)</f>
        <v>-187</v>
      </c>
      <c r="Q25" s="261">
        <f>Q16+Q23</f>
        <v>-3.6000000000058208E-4</v>
      </c>
      <c r="S25" s="261">
        <f>S16+S23</f>
        <v>-3.6000000000058208E-4</v>
      </c>
      <c r="U25" s="16"/>
      <c r="V25" s="16"/>
      <c r="W25" s="16"/>
      <c r="X25" s="16"/>
    </row>
    <row r="26" spans="3:24">
      <c r="C26" s="44"/>
      <c r="E26" s="277"/>
      <c r="F26" s="279"/>
      <c r="G26" s="177"/>
      <c r="H26" s="39"/>
      <c r="I26" s="40"/>
      <c r="K26" s="37"/>
      <c r="L26" s="27"/>
      <c r="M26" s="38"/>
      <c r="N26" s="39"/>
      <c r="O26" s="40"/>
      <c r="Q26" s="258"/>
      <c r="S26" s="24"/>
      <c r="U26" s="16"/>
      <c r="V26" s="16"/>
      <c r="W26" s="16"/>
      <c r="X26" s="16"/>
    </row>
    <row r="27" spans="3:24" ht="13.5" thickBot="1">
      <c r="C27" s="62"/>
      <c r="E27" s="168"/>
      <c r="F27" s="64"/>
      <c r="G27" s="65"/>
      <c r="H27" s="66"/>
      <c r="I27" s="67"/>
      <c r="K27" s="63"/>
      <c r="L27" s="64"/>
      <c r="M27" s="65"/>
      <c r="N27" s="66"/>
      <c r="O27" s="67"/>
      <c r="Q27" s="263"/>
      <c r="S27" s="62"/>
      <c r="U27" s="16"/>
      <c r="V27" s="16"/>
      <c r="W27" s="16"/>
      <c r="X27" s="16"/>
    </row>
    <row r="28" spans="3:24">
      <c r="O28" s="254"/>
      <c r="Q28" s="2"/>
      <c r="V28" s="16"/>
    </row>
    <row r="29" spans="3:24">
      <c r="E29" s="249"/>
      <c r="O29" s="245"/>
      <c r="Q29" s="2"/>
    </row>
  </sheetData>
  <mergeCells count="2">
    <mergeCell ref="E7:I7"/>
    <mergeCell ref="K7:O7"/>
  </mergeCells>
  <pageMargins left="0.70866141732283472" right="0.70866141732283472" top="0.74803149606299213" bottom="0.74803149606299213" header="0.31496062992125984" footer="0.31496062992125984"/>
  <pageSetup paperSize="9" scale="83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4">
    <pageSetUpPr fitToPage="1"/>
  </sheetPr>
  <dimension ref="A1:L23"/>
  <sheetViews>
    <sheetView workbookViewId="0">
      <selection activeCell="L11" sqref="L11"/>
    </sheetView>
  </sheetViews>
  <sheetFormatPr defaultRowHeight="12.75"/>
  <cols>
    <col min="1" max="1" width="3.42578125" customWidth="1"/>
    <col min="2" max="2" width="57.7109375" customWidth="1"/>
    <col min="3" max="4" width="9.140625" customWidth="1"/>
    <col min="9" max="9" width="12.85546875" customWidth="1"/>
    <col min="10" max="10" width="13.5703125" customWidth="1"/>
    <col min="11" max="11" width="9.42578125" customWidth="1"/>
    <col min="12" max="12" width="3" customWidth="1"/>
  </cols>
  <sheetData>
    <row r="1" spans="1:12" ht="14.25">
      <c r="A1" s="79"/>
      <c r="B1" s="80"/>
      <c r="C1" s="80"/>
      <c r="D1" s="81"/>
      <c r="E1" s="81"/>
      <c r="F1" s="81"/>
      <c r="G1" s="81"/>
      <c r="H1" s="81"/>
      <c r="I1" s="81"/>
      <c r="J1" s="81"/>
      <c r="K1" s="81"/>
      <c r="L1" s="82"/>
    </row>
    <row r="2" spans="1:12" ht="15">
      <c r="A2" s="83"/>
      <c r="B2" s="340" t="s">
        <v>204</v>
      </c>
      <c r="C2" s="341"/>
      <c r="D2" s="341"/>
      <c r="E2" s="341"/>
      <c r="F2" s="342"/>
      <c r="G2" s="84"/>
      <c r="H2" s="328" t="s">
        <v>99</v>
      </c>
      <c r="I2" s="329"/>
      <c r="J2" s="330"/>
      <c r="K2" s="84"/>
      <c r="L2" s="85"/>
    </row>
    <row r="3" spans="1:12" ht="14.25">
      <c r="A3" s="86"/>
      <c r="B3" s="87"/>
      <c r="C3" s="88"/>
      <c r="D3" s="89"/>
      <c r="E3" s="89"/>
      <c r="F3" s="90"/>
      <c r="G3" s="90"/>
      <c r="H3" s="90"/>
      <c r="I3" s="90"/>
      <c r="J3" s="90"/>
      <c r="K3" s="90"/>
      <c r="L3" s="91"/>
    </row>
    <row r="4" spans="1:12" ht="15" customHeight="1">
      <c r="A4" s="86"/>
      <c r="B4" s="331" t="s">
        <v>32</v>
      </c>
      <c r="C4" s="332"/>
      <c r="D4" s="332"/>
      <c r="E4" s="333"/>
      <c r="F4" s="337" t="s">
        <v>190</v>
      </c>
      <c r="G4" s="338"/>
      <c r="H4" s="339"/>
      <c r="I4" s="337" t="s">
        <v>172</v>
      </c>
      <c r="J4" s="338"/>
      <c r="K4" s="339"/>
      <c r="L4" s="91"/>
    </row>
    <row r="5" spans="1:12" ht="73.5" customHeight="1">
      <c r="A5" s="86"/>
      <c r="B5" s="334"/>
      <c r="C5" s="335"/>
      <c r="D5" s="335"/>
      <c r="E5" s="336"/>
      <c r="F5" s="92" t="s">
        <v>33</v>
      </c>
      <c r="G5" s="92" t="s">
        <v>34</v>
      </c>
      <c r="H5" s="92" t="s">
        <v>35</v>
      </c>
      <c r="I5" s="92" t="s">
        <v>33</v>
      </c>
      <c r="J5" s="92" t="s">
        <v>34</v>
      </c>
      <c r="K5" s="92" t="s">
        <v>35</v>
      </c>
      <c r="L5" s="91"/>
    </row>
    <row r="6" spans="1:12" s="96" customFormat="1" ht="15" customHeight="1">
      <c r="A6" s="93"/>
      <c r="B6" s="325"/>
      <c r="C6" s="326"/>
      <c r="D6" s="326"/>
      <c r="E6" s="327"/>
      <c r="F6" s="94"/>
      <c r="G6" s="94"/>
      <c r="H6" s="94"/>
      <c r="I6" s="94"/>
      <c r="J6" s="94"/>
      <c r="K6" s="94"/>
      <c r="L6" s="95"/>
    </row>
    <row r="7" spans="1:12" s="96" customFormat="1" ht="15">
      <c r="A7" s="93"/>
      <c r="B7" s="322" t="s">
        <v>36</v>
      </c>
      <c r="C7" s="323"/>
      <c r="D7" s="323"/>
      <c r="E7" s="324"/>
      <c r="F7" s="218">
        <v>3115</v>
      </c>
      <c r="G7" s="97">
        <v>0</v>
      </c>
      <c r="H7" s="97">
        <v>3115</v>
      </c>
      <c r="I7" s="97">
        <v>3952</v>
      </c>
      <c r="J7" s="97">
        <v>0</v>
      </c>
      <c r="K7" s="97">
        <f>I7+J7</f>
        <v>3952</v>
      </c>
      <c r="L7" s="95"/>
    </row>
    <row r="8" spans="1:12" s="96" customFormat="1" ht="15" hidden="1" customHeight="1">
      <c r="A8" s="93"/>
      <c r="B8" s="98"/>
      <c r="C8" s="317" t="s">
        <v>37</v>
      </c>
      <c r="D8" s="318"/>
      <c r="E8" s="319"/>
      <c r="F8" s="315"/>
      <c r="G8" s="315"/>
      <c r="H8" s="315"/>
      <c r="I8" s="320"/>
      <c r="J8" s="320"/>
      <c r="K8" s="315"/>
      <c r="L8" s="95"/>
    </row>
    <row r="9" spans="1:12" s="96" customFormat="1" ht="14.25" customHeight="1">
      <c r="A9" s="93"/>
      <c r="B9" s="99" t="s">
        <v>38</v>
      </c>
      <c r="C9" s="100" t="s">
        <v>39</v>
      </c>
      <c r="D9" s="100" t="s">
        <v>40</v>
      </c>
      <c r="E9" s="100" t="s">
        <v>41</v>
      </c>
      <c r="F9" s="316"/>
      <c r="G9" s="316"/>
      <c r="H9" s="316"/>
      <c r="I9" s="321"/>
      <c r="J9" s="321"/>
      <c r="K9" s="316"/>
      <c r="L9" s="95"/>
    </row>
    <row r="10" spans="1:12" s="96" customFormat="1" ht="14.25" customHeight="1">
      <c r="A10" s="93"/>
      <c r="B10" s="101" t="s">
        <v>161</v>
      </c>
      <c r="C10" s="219">
        <v>0</v>
      </c>
      <c r="D10" s="220">
        <v>0.28000000000000003</v>
      </c>
      <c r="E10" s="221">
        <v>0.72</v>
      </c>
      <c r="F10" s="218">
        <v>796</v>
      </c>
      <c r="G10" s="218">
        <v>34</v>
      </c>
      <c r="H10" s="102">
        <f t="shared" ref="H10:H16" si="0">F10+G10</f>
        <v>830</v>
      </c>
      <c r="I10" s="178">
        <v>1339</v>
      </c>
      <c r="J10" s="178">
        <v>34</v>
      </c>
      <c r="K10" s="102">
        <f t="shared" ref="K10:K16" si="1">I10+J10</f>
        <v>1373</v>
      </c>
      <c r="L10" s="95"/>
    </row>
    <row r="11" spans="1:12" s="96" customFormat="1" ht="14.25" customHeight="1">
      <c r="A11" s="93"/>
      <c r="B11" s="103" t="s">
        <v>43</v>
      </c>
      <c r="C11" s="222">
        <v>0</v>
      </c>
      <c r="D11" s="223">
        <v>0</v>
      </c>
      <c r="E11" s="221">
        <v>1</v>
      </c>
      <c r="F11" s="218">
        <v>132</v>
      </c>
      <c r="G11" s="218"/>
      <c r="H11" s="102">
        <f t="shared" si="0"/>
        <v>132</v>
      </c>
      <c r="I11" s="218">
        <v>145</v>
      </c>
      <c r="J11" s="178"/>
      <c r="K11" s="102">
        <f>I11+J11</f>
        <v>145</v>
      </c>
      <c r="L11" s="95"/>
    </row>
    <row r="12" spans="1:12" s="96" customFormat="1" ht="14.25" customHeight="1">
      <c r="A12" s="93"/>
      <c r="B12" s="103" t="s">
        <v>44</v>
      </c>
      <c r="C12" s="222">
        <v>0</v>
      </c>
      <c r="D12" s="223">
        <v>0.25</v>
      </c>
      <c r="E12" s="221">
        <v>0.75</v>
      </c>
      <c r="F12" s="218">
        <v>1543</v>
      </c>
      <c r="G12" s="218">
        <v>252</v>
      </c>
      <c r="H12" s="102">
        <f t="shared" si="0"/>
        <v>1795</v>
      </c>
      <c r="I12" s="178">
        <v>1595</v>
      </c>
      <c r="J12" s="178">
        <v>252</v>
      </c>
      <c r="K12" s="102">
        <f t="shared" si="1"/>
        <v>1847</v>
      </c>
      <c r="L12" s="95"/>
    </row>
    <row r="13" spans="1:12" s="96" customFormat="1" ht="14.25">
      <c r="A13" s="93"/>
      <c r="B13" s="103" t="s">
        <v>42</v>
      </c>
      <c r="C13" s="222">
        <v>0</v>
      </c>
      <c r="D13" s="223">
        <v>0.01</v>
      </c>
      <c r="E13" s="221">
        <v>0.99</v>
      </c>
      <c r="F13" s="218">
        <v>644</v>
      </c>
      <c r="G13" s="218"/>
      <c r="H13" s="102">
        <f t="shared" si="0"/>
        <v>644</v>
      </c>
      <c r="I13" s="178">
        <v>475</v>
      </c>
      <c r="J13" s="178"/>
      <c r="K13" s="102">
        <f t="shared" si="1"/>
        <v>475</v>
      </c>
      <c r="L13" s="95"/>
    </row>
    <row r="14" spans="1:12" s="96" customFormat="1" ht="14.25">
      <c r="A14" s="93"/>
      <c r="B14" s="103" t="s">
        <v>199</v>
      </c>
      <c r="C14" s="222">
        <v>0</v>
      </c>
      <c r="D14" s="223">
        <v>1</v>
      </c>
      <c r="E14" s="221">
        <v>0</v>
      </c>
      <c r="F14" s="218">
        <v>16</v>
      </c>
      <c r="G14" s="218"/>
      <c r="H14" s="102">
        <f t="shared" si="0"/>
        <v>16</v>
      </c>
      <c r="I14" s="178">
        <v>20</v>
      </c>
      <c r="J14" s="178"/>
      <c r="K14" s="102">
        <f t="shared" si="1"/>
        <v>20</v>
      </c>
      <c r="L14" s="95"/>
    </row>
    <row r="15" spans="1:12" s="96" customFormat="1" ht="14.25" customHeight="1">
      <c r="A15" s="93"/>
      <c r="B15" s="103" t="s">
        <v>162</v>
      </c>
      <c r="C15" s="222">
        <v>0</v>
      </c>
      <c r="D15" s="223">
        <v>0.46</v>
      </c>
      <c r="E15" s="221">
        <v>0.54</v>
      </c>
      <c r="F15" s="218">
        <v>72</v>
      </c>
      <c r="G15" s="218"/>
      <c r="H15" s="102">
        <f t="shared" si="0"/>
        <v>72</v>
      </c>
      <c r="I15" s="178">
        <v>228</v>
      </c>
      <c r="J15" s="178"/>
      <c r="K15" s="102">
        <f t="shared" si="1"/>
        <v>228</v>
      </c>
      <c r="L15" s="95"/>
    </row>
    <row r="16" spans="1:12" s="96" customFormat="1" ht="14.25" customHeight="1">
      <c r="A16" s="93"/>
      <c r="B16" s="103" t="s">
        <v>45</v>
      </c>
      <c r="C16" s="224">
        <v>0</v>
      </c>
      <c r="D16" s="225">
        <v>0.21</v>
      </c>
      <c r="E16" s="226">
        <f>1-C16-D16</f>
        <v>0.79</v>
      </c>
      <c r="F16" s="227">
        <v>35</v>
      </c>
      <c r="G16" s="227">
        <v>128</v>
      </c>
      <c r="H16" s="102">
        <f t="shared" si="0"/>
        <v>163</v>
      </c>
      <c r="I16" s="228">
        <v>150</v>
      </c>
      <c r="J16" s="228">
        <v>128</v>
      </c>
      <c r="K16" s="102">
        <f t="shared" si="1"/>
        <v>278</v>
      </c>
      <c r="L16" s="95"/>
    </row>
    <row r="17" spans="1:12" s="96" customFormat="1" ht="14.25" customHeight="1">
      <c r="A17" s="93"/>
      <c r="B17" s="104" t="s">
        <v>46</v>
      </c>
      <c r="C17" s="105">
        <v>0</v>
      </c>
      <c r="D17" s="105">
        <v>263</v>
      </c>
      <c r="E17" s="105">
        <v>451</v>
      </c>
      <c r="F17" s="106">
        <f>SUM(F10:F16)</f>
        <v>3238</v>
      </c>
      <c r="G17" s="106">
        <f>SUM(G10:G16)</f>
        <v>414</v>
      </c>
      <c r="H17" s="106">
        <f>SUM(H10:H16)</f>
        <v>3652</v>
      </c>
      <c r="I17" s="106">
        <f>SUM(I10:I16)</f>
        <v>3952</v>
      </c>
      <c r="J17" s="106">
        <f>SUM(J10:J16)</f>
        <v>414</v>
      </c>
      <c r="K17" s="106">
        <f>SUM(I17:J17)</f>
        <v>4366</v>
      </c>
      <c r="L17" s="95"/>
    </row>
    <row r="18" spans="1:12" s="96" customFormat="1" ht="15">
      <c r="A18" s="93"/>
      <c r="B18" s="99" t="s">
        <v>47</v>
      </c>
      <c r="C18" s="312"/>
      <c r="D18" s="313"/>
      <c r="E18" s="314"/>
      <c r="F18" s="107">
        <f>F17-F7</f>
        <v>123</v>
      </c>
      <c r="G18" s="107">
        <f>G17-G7</f>
        <v>414</v>
      </c>
      <c r="H18" s="106">
        <f>H17-H7</f>
        <v>537</v>
      </c>
      <c r="I18" s="106">
        <f>I17-I7</f>
        <v>0</v>
      </c>
      <c r="J18" s="106">
        <f>J17-J7</f>
        <v>414</v>
      </c>
      <c r="K18" s="106">
        <f>SUM(I18:J18)</f>
        <v>414</v>
      </c>
      <c r="L18" s="95"/>
    </row>
    <row r="19" spans="1:12" s="96" customFormat="1" ht="15">
      <c r="A19" s="93"/>
      <c r="B19" s="312"/>
      <c r="C19" s="313"/>
      <c r="D19" s="313"/>
      <c r="E19" s="313"/>
      <c r="F19" s="313"/>
      <c r="G19" s="313"/>
      <c r="H19" s="313"/>
      <c r="I19" s="313"/>
      <c r="J19" s="313"/>
      <c r="K19" s="314"/>
      <c r="L19" s="95"/>
    </row>
    <row r="20" spans="1:12" s="96" customFormat="1" ht="15" hidden="1" customHeight="1">
      <c r="A20" s="93"/>
      <c r="B20" s="312" t="s">
        <v>163</v>
      </c>
      <c r="C20" s="313"/>
      <c r="D20" s="313"/>
      <c r="E20" s="314"/>
      <c r="F20" s="229"/>
      <c r="G20" s="229"/>
      <c r="H20" s="230">
        <f>SUM(F20:G20)</f>
        <v>0</v>
      </c>
      <c r="I20" s="229"/>
      <c r="J20" s="229"/>
      <c r="K20" s="230">
        <f>SUM(I20:J20)</f>
        <v>0</v>
      </c>
      <c r="L20" s="95"/>
    </row>
    <row r="21" spans="1:12" ht="15.75" hidden="1" customHeight="1" thickBot="1">
      <c r="A21" s="108"/>
      <c r="B21" s="312"/>
      <c r="C21" s="313"/>
      <c r="D21" s="313"/>
      <c r="E21" s="313"/>
      <c r="F21" s="313"/>
      <c r="G21" s="313"/>
      <c r="H21" s="313"/>
      <c r="I21" s="313"/>
      <c r="J21" s="313"/>
      <c r="K21" s="314"/>
      <c r="L21" s="110"/>
    </row>
    <row r="22" spans="1:12" ht="15" hidden="1" customHeight="1">
      <c r="B22" s="312" t="s">
        <v>164</v>
      </c>
      <c r="C22" s="313"/>
      <c r="D22" s="313"/>
      <c r="E22" s="314"/>
      <c r="F22" s="231"/>
      <c r="G22" s="231"/>
      <c r="H22" s="232">
        <f>SUM(F22:G22)</f>
        <v>0</v>
      </c>
      <c r="I22" s="231"/>
      <c r="J22" s="231"/>
      <c r="K22" s="232">
        <f>SUM(I22:J22)</f>
        <v>0</v>
      </c>
    </row>
    <row r="23" spans="1:12" ht="12.75" hidden="1" customHeight="1">
      <c r="F23" s="248" t="s">
        <v>167</v>
      </c>
    </row>
  </sheetData>
  <mergeCells count="19">
    <mergeCell ref="B7:E7"/>
    <mergeCell ref="B6:E6"/>
    <mergeCell ref="H2:J2"/>
    <mergeCell ref="B4:E5"/>
    <mergeCell ref="F4:H4"/>
    <mergeCell ref="I4:K4"/>
    <mergeCell ref="B2:F2"/>
    <mergeCell ref="B22:E22"/>
    <mergeCell ref="B21:K21"/>
    <mergeCell ref="G8:G9"/>
    <mergeCell ref="H8:H9"/>
    <mergeCell ref="C8:E8"/>
    <mergeCell ref="K8:K9"/>
    <mergeCell ref="B19:K19"/>
    <mergeCell ref="B20:E20"/>
    <mergeCell ref="C18:E18"/>
    <mergeCell ref="F8:F9"/>
    <mergeCell ref="I8:I9"/>
    <mergeCell ref="J8:J9"/>
  </mergeCells>
  <phoneticPr fontId="25" type="noConversion"/>
  <conditionalFormatting sqref="J10:J16 I10 I12:I16">
    <cfRule type="expression" dxfId="2" priority="2" stopIfTrue="1">
      <formula>AND($D$58=1,I10&lt;&gt;F10)</formula>
    </cfRule>
  </conditionalFormatting>
  <conditionalFormatting sqref="C10:D16">
    <cfRule type="expression" dxfId="1" priority="3" stopIfTrue="1">
      <formula>$D$59=12</formula>
    </cfRule>
  </conditionalFormatting>
  <dataValidations count="3">
    <dataValidation type="custom" allowBlank="1" showInputMessage="1" showErrorMessage="1" sqref="F7">
      <formula1>AND(OR(F7&gt;0,F7=0),OR(F7&lt;H7,F7=H7))</formula1>
    </dataValidation>
    <dataValidation showInputMessage="1" showErrorMessage="1" sqref="C10:C16"/>
    <dataValidation type="custom" allowBlank="1" showInputMessage="1" showErrorMessage="1" sqref="G7 I10:J16 F10:G16">
      <formula1>OR(F7&gt;0,F7=0)</formula1>
    </dataValidation>
  </dataValidations>
  <pageMargins left="0.75" right="0.75" top="1" bottom="1" header="0.5" footer="0.5"/>
  <pageSetup paperSize="9" scale="89" orientation="landscape" r:id="rId1"/>
  <headerFooter alignWithMargins="0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 codeName="Sheet5">
    <pageSetUpPr fitToPage="1"/>
  </sheetPr>
  <dimension ref="A1:N186"/>
  <sheetViews>
    <sheetView workbookViewId="0">
      <selection activeCell="E97" sqref="E97"/>
    </sheetView>
  </sheetViews>
  <sheetFormatPr defaultRowHeight="14.25"/>
  <cols>
    <col min="1" max="1" width="4.140625" style="119" customWidth="1"/>
    <col min="2" max="2" width="5.85546875" style="121" customWidth="1"/>
    <col min="3" max="3" width="78.5703125" style="122" customWidth="1"/>
    <col min="4" max="9" width="11.7109375" style="122" customWidth="1"/>
    <col min="10" max="10" width="4.5703125" style="119" customWidth="1"/>
    <col min="11" max="11" width="9.140625" style="120"/>
    <col min="12" max="12" width="9.140625" style="123"/>
    <col min="13" max="16384" width="9.140625" style="120"/>
  </cols>
  <sheetData>
    <row r="1" spans="2:10" ht="10.5" customHeight="1" thickBot="1"/>
    <row r="2" spans="2:10">
      <c r="B2" s="179"/>
      <c r="C2" s="80"/>
      <c r="D2" s="80"/>
      <c r="E2" s="80"/>
      <c r="F2" s="80"/>
      <c r="G2" s="80"/>
      <c r="H2" s="80"/>
      <c r="I2" s="80"/>
      <c r="J2" s="82"/>
    </row>
    <row r="3" spans="2:10" ht="15">
      <c r="B3" s="180"/>
      <c r="C3" s="198" t="s">
        <v>160</v>
      </c>
      <c r="D3" s="199"/>
      <c r="E3" s="199"/>
      <c r="F3" s="199"/>
      <c r="G3" s="268" t="s">
        <v>202</v>
      </c>
      <c r="H3" s="267"/>
      <c r="I3" s="200"/>
      <c r="J3" s="124"/>
    </row>
    <row r="4" spans="2:10">
      <c r="B4" s="181"/>
      <c r="C4" s="87"/>
      <c r="D4" s="87"/>
      <c r="E4" s="87"/>
      <c r="F4" s="87"/>
      <c r="G4" s="87"/>
      <c r="H4" s="87"/>
      <c r="I4" s="87"/>
      <c r="J4" s="91"/>
    </row>
    <row r="5" spans="2:10" ht="15">
      <c r="B5" s="181"/>
      <c r="C5" s="343" t="s">
        <v>50</v>
      </c>
      <c r="D5" s="345" t="s">
        <v>1</v>
      </c>
      <c r="E5" s="345"/>
      <c r="F5" s="345"/>
      <c r="G5" s="345" t="s">
        <v>173</v>
      </c>
      <c r="H5" s="345"/>
      <c r="I5" s="345"/>
      <c r="J5" s="91"/>
    </row>
    <row r="6" spans="2:10" ht="45">
      <c r="B6" s="182" t="s">
        <v>56</v>
      </c>
      <c r="C6" s="344"/>
      <c r="D6" s="125" t="s">
        <v>57</v>
      </c>
      <c r="E6" s="125" t="s">
        <v>58</v>
      </c>
      <c r="F6" s="125" t="s">
        <v>59</v>
      </c>
      <c r="G6" s="125" t="s">
        <v>60</v>
      </c>
      <c r="H6" s="125" t="s">
        <v>61</v>
      </c>
      <c r="I6" s="125" t="s">
        <v>62</v>
      </c>
      <c r="J6" s="91"/>
    </row>
    <row r="7" spans="2:10" ht="15" customHeight="1">
      <c r="B7" s="181"/>
      <c r="C7" s="136" t="s">
        <v>117</v>
      </c>
      <c r="D7" s="126"/>
      <c r="E7" s="126"/>
      <c r="F7" s="126"/>
      <c r="G7" s="126"/>
      <c r="H7" s="126"/>
      <c r="I7" s="127"/>
      <c r="J7" s="91"/>
    </row>
    <row r="8" spans="2:10" ht="15" customHeight="1">
      <c r="B8" s="181">
        <v>10.000999999999999</v>
      </c>
      <c r="C8" s="128" t="s">
        <v>165</v>
      </c>
      <c r="D8" s="126">
        <v>360</v>
      </c>
      <c r="E8" s="126">
        <v>360</v>
      </c>
      <c r="F8" s="126">
        <f t="shared" ref="F8:F35" si="0">E8-D8</f>
        <v>0</v>
      </c>
      <c r="G8" s="126">
        <v>433</v>
      </c>
      <c r="H8" s="126">
        <v>433</v>
      </c>
      <c r="I8" s="126">
        <f t="shared" ref="I8:I35" si="1">H8-G8</f>
        <v>0</v>
      </c>
      <c r="J8" s="91"/>
    </row>
    <row r="9" spans="2:10" ht="15" customHeight="1">
      <c r="B9" s="181">
        <v>10.002000000000001</v>
      </c>
      <c r="C9" s="129" t="s">
        <v>174</v>
      </c>
      <c r="D9" s="233">
        <v>0</v>
      </c>
      <c r="E9" s="233">
        <v>0</v>
      </c>
      <c r="F9" s="144">
        <f t="shared" si="0"/>
        <v>0</v>
      </c>
      <c r="G9" s="233">
        <v>800</v>
      </c>
      <c r="H9" s="233">
        <v>800</v>
      </c>
      <c r="I9" s="126">
        <f t="shared" si="1"/>
        <v>0</v>
      </c>
      <c r="J9" s="91"/>
    </row>
    <row r="10" spans="2:10" ht="15" customHeight="1">
      <c r="B10" s="181">
        <v>10.003</v>
      </c>
      <c r="C10" s="127"/>
      <c r="D10" s="233"/>
      <c r="E10" s="233"/>
      <c r="F10" s="144">
        <f t="shared" si="0"/>
        <v>0</v>
      </c>
      <c r="G10" s="233"/>
      <c r="H10" s="233"/>
      <c r="I10" s="126">
        <f t="shared" si="1"/>
        <v>0</v>
      </c>
      <c r="J10" s="91"/>
    </row>
    <row r="11" spans="2:10" ht="15" customHeight="1">
      <c r="B11" s="181">
        <v>10.004</v>
      </c>
      <c r="C11" s="130"/>
      <c r="D11" s="233"/>
      <c r="E11" s="234"/>
      <c r="F11" s="144">
        <f t="shared" si="0"/>
        <v>0</v>
      </c>
      <c r="G11" s="235"/>
      <c r="H11" s="235"/>
      <c r="I11" s="126">
        <f t="shared" si="1"/>
        <v>0</v>
      </c>
      <c r="J11" s="91"/>
    </row>
    <row r="12" spans="2:10" ht="15" hidden="1" customHeight="1">
      <c r="B12" s="181">
        <v>10.005000000000001</v>
      </c>
      <c r="C12" s="130"/>
      <c r="D12" s="233"/>
      <c r="E12" s="234"/>
      <c r="F12" s="144">
        <f t="shared" si="0"/>
        <v>0</v>
      </c>
      <c r="G12" s="236"/>
      <c r="H12" s="236"/>
      <c r="I12" s="126">
        <f t="shared" si="1"/>
        <v>0</v>
      </c>
      <c r="J12" s="91"/>
    </row>
    <row r="13" spans="2:10" ht="15" hidden="1" customHeight="1">
      <c r="B13" s="181">
        <v>10.006</v>
      </c>
      <c r="C13" s="185"/>
      <c r="D13" s="233"/>
      <c r="E13" s="234"/>
      <c r="F13" s="144">
        <f t="shared" si="0"/>
        <v>0</v>
      </c>
      <c r="G13" s="236"/>
      <c r="H13" s="236"/>
      <c r="I13" s="126">
        <f t="shared" si="1"/>
        <v>0</v>
      </c>
      <c r="J13" s="91"/>
    </row>
    <row r="14" spans="2:10" ht="15" hidden="1" customHeight="1">
      <c r="B14" s="181">
        <v>10.007</v>
      </c>
      <c r="C14" s="185"/>
      <c r="D14" s="183"/>
      <c r="E14" s="184"/>
      <c r="F14" s="126">
        <f t="shared" si="0"/>
        <v>0</v>
      </c>
      <c r="G14" s="178"/>
      <c r="H14" s="178"/>
      <c r="I14" s="126">
        <f t="shared" si="1"/>
        <v>0</v>
      </c>
      <c r="J14" s="91"/>
    </row>
    <row r="15" spans="2:10" ht="15" hidden="1" customHeight="1">
      <c r="B15" s="181">
        <v>10.007999999999999</v>
      </c>
      <c r="C15" s="185"/>
      <c r="D15" s="183"/>
      <c r="E15" s="184"/>
      <c r="F15" s="126">
        <f t="shared" si="0"/>
        <v>0</v>
      </c>
      <c r="G15" s="178"/>
      <c r="H15" s="178"/>
      <c r="I15" s="126">
        <f t="shared" si="1"/>
        <v>0</v>
      </c>
      <c r="J15" s="91"/>
    </row>
    <row r="16" spans="2:10" ht="15" hidden="1" customHeight="1">
      <c r="B16" s="181">
        <v>10.009</v>
      </c>
      <c r="C16" s="185"/>
      <c r="D16" s="183"/>
      <c r="E16" s="184"/>
      <c r="F16" s="126">
        <f t="shared" si="0"/>
        <v>0</v>
      </c>
      <c r="G16" s="178"/>
      <c r="H16" s="178"/>
      <c r="I16" s="126">
        <f t="shared" si="1"/>
        <v>0</v>
      </c>
      <c r="J16" s="91"/>
    </row>
    <row r="17" spans="2:10" ht="15" hidden="1" customHeight="1">
      <c r="B17" s="181">
        <v>10.01</v>
      </c>
      <c r="C17" s="185"/>
      <c r="D17" s="183"/>
      <c r="E17" s="184"/>
      <c r="F17" s="126">
        <f t="shared" si="0"/>
        <v>0</v>
      </c>
      <c r="G17" s="178"/>
      <c r="H17" s="178"/>
      <c r="I17" s="126">
        <f t="shared" si="1"/>
        <v>0</v>
      </c>
      <c r="J17" s="91"/>
    </row>
    <row r="18" spans="2:10" ht="15" hidden="1" customHeight="1">
      <c r="B18" s="181">
        <v>10.010999999999999</v>
      </c>
      <c r="C18" s="185"/>
      <c r="D18" s="183"/>
      <c r="E18" s="184"/>
      <c r="F18" s="126">
        <f t="shared" si="0"/>
        <v>0</v>
      </c>
      <c r="G18" s="178"/>
      <c r="H18" s="178"/>
      <c r="I18" s="126">
        <f t="shared" si="1"/>
        <v>0</v>
      </c>
      <c r="J18" s="91"/>
    </row>
    <row r="19" spans="2:10" ht="15" hidden="1" customHeight="1">
      <c r="B19" s="181">
        <v>10.012</v>
      </c>
      <c r="C19" s="185"/>
      <c r="D19" s="183"/>
      <c r="E19" s="184"/>
      <c r="F19" s="126">
        <f t="shared" si="0"/>
        <v>0</v>
      </c>
      <c r="G19" s="178"/>
      <c r="H19" s="178"/>
      <c r="I19" s="126">
        <f t="shared" si="1"/>
        <v>0</v>
      </c>
      <c r="J19" s="91"/>
    </row>
    <row r="20" spans="2:10" ht="15" hidden="1" customHeight="1">
      <c r="B20" s="181">
        <v>10.013</v>
      </c>
      <c r="C20" s="185"/>
      <c r="D20" s="183"/>
      <c r="E20" s="184"/>
      <c r="F20" s="126">
        <f t="shared" si="0"/>
        <v>0</v>
      </c>
      <c r="G20" s="178"/>
      <c r="H20" s="178"/>
      <c r="I20" s="126">
        <f t="shared" si="1"/>
        <v>0</v>
      </c>
      <c r="J20" s="91"/>
    </row>
    <row r="21" spans="2:10" ht="15" hidden="1" customHeight="1">
      <c r="B21" s="181">
        <v>10.013999999999999</v>
      </c>
      <c r="C21" s="185"/>
      <c r="D21" s="183"/>
      <c r="E21" s="184"/>
      <c r="F21" s="126">
        <f t="shared" si="0"/>
        <v>0</v>
      </c>
      <c r="G21" s="178"/>
      <c r="H21" s="178"/>
      <c r="I21" s="126">
        <f t="shared" si="1"/>
        <v>0</v>
      </c>
      <c r="J21" s="91"/>
    </row>
    <row r="22" spans="2:10" ht="15" hidden="1" customHeight="1">
      <c r="B22" s="181">
        <v>10.015000000000001</v>
      </c>
      <c r="C22" s="185"/>
      <c r="D22" s="183"/>
      <c r="E22" s="184"/>
      <c r="F22" s="126">
        <f t="shared" si="0"/>
        <v>0</v>
      </c>
      <c r="G22" s="178"/>
      <c r="H22" s="178"/>
      <c r="I22" s="126">
        <f t="shared" si="1"/>
        <v>0</v>
      </c>
      <c r="J22" s="91"/>
    </row>
    <row r="23" spans="2:10" ht="15" hidden="1" customHeight="1">
      <c r="B23" s="181">
        <v>10.016</v>
      </c>
      <c r="C23" s="185"/>
      <c r="D23" s="183"/>
      <c r="E23" s="184"/>
      <c r="F23" s="126">
        <f t="shared" si="0"/>
        <v>0</v>
      </c>
      <c r="G23" s="178"/>
      <c r="H23" s="178"/>
      <c r="I23" s="126">
        <f t="shared" si="1"/>
        <v>0</v>
      </c>
      <c r="J23" s="91"/>
    </row>
    <row r="24" spans="2:10" ht="15" hidden="1" customHeight="1">
      <c r="B24" s="181">
        <v>10.016999999999999</v>
      </c>
      <c r="C24" s="185"/>
      <c r="D24" s="183"/>
      <c r="E24" s="184"/>
      <c r="F24" s="126">
        <f t="shared" si="0"/>
        <v>0</v>
      </c>
      <c r="G24" s="178"/>
      <c r="H24" s="178"/>
      <c r="I24" s="126">
        <f t="shared" si="1"/>
        <v>0</v>
      </c>
      <c r="J24" s="91"/>
    </row>
    <row r="25" spans="2:10" ht="15" hidden="1" customHeight="1">
      <c r="B25" s="181">
        <v>10.018000000000001</v>
      </c>
      <c r="C25" s="185"/>
      <c r="D25" s="183"/>
      <c r="E25" s="184"/>
      <c r="F25" s="126">
        <f t="shared" si="0"/>
        <v>0</v>
      </c>
      <c r="G25" s="178"/>
      <c r="H25" s="178"/>
      <c r="I25" s="126">
        <f t="shared" si="1"/>
        <v>0</v>
      </c>
      <c r="J25" s="91"/>
    </row>
    <row r="26" spans="2:10" ht="15" hidden="1" customHeight="1">
      <c r="B26" s="181">
        <v>10.019</v>
      </c>
      <c r="C26" s="185"/>
      <c r="D26" s="183"/>
      <c r="E26" s="184"/>
      <c r="F26" s="126">
        <f t="shared" si="0"/>
        <v>0</v>
      </c>
      <c r="G26" s="178"/>
      <c r="H26" s="178"/>
      <c r="I26" s="126">
        <f t="shared" si="1"/>
        <v>0</v>
      </c>
      <c r="J26" s="91"/>
    </row>
    <row r="27" spans="2:10" ht="15" hidden="1" customHeight="1">
      <c r="B27" s="181">
        <v>10.02</v>
      </c>
      <c r="C27" s="185"/>
      <c r="D27" s="183"/>
      <c r="E27" s="184"/>
      <c r="F27" s="126">
        <f t="shared" si="0"/>
        <v>0</v>
      </c>
      <c r="G27" s="178"/>
      <c r="H27" s="178"/>
      <c r="I27" s="126">
        <f t="shared" si="1"/>
        <v>0</v>
      </c>
      <c r="J27" s="91"/>
    </row>
    <row r="28" spans="2:10" ht="15" hidden="1" customHeight="1">
      <c r="B28" s="181">
        <v>10.021000000000001</v>
      </c>
      <c r="C28" s="185"/>
      <c r="D28" s="183"/>
      <c r="E28" s="184"/>
      <c r="F28" s="126">
        <f t="shared" si="0"/>
        <v>0</v>
      </c>
      <c r="G28" s="178"/>
      <c r="H28" s="178"/>
      <c r="I28" s="126">
        <f t="shared" si="1"/>
        <v>0</v>
      </c>
      <c r="J28" s="91"/>
    </row>
    <row r="29" spans="2:10" ht="15" hidden="1" customHeight="1">
      <c r="B29" s="181">
        <v>10.022</v>
      </c>
      <c r="C29" s="185"/>
      <c r="D29" s="183"/>
      <c r="E29" s="184"/>
      <c r="F29" s="126">
        <f t="shared" si="0"/>
        <v>0</v>
      </c>
      <c r="G29" s="178"/>
      <c r="H29" s="178"/>
      <c r="I29" s="126">
        <f t="shared" si="1"/>
        <v>0</v>
      </c>
      <c r="J29" s="91"/>
    </row>
    <row r="30" spans="2:10" ht="15" hidden="1" customHeight="1">
      <c r="B30" s="181">
        <v>10.023</v>
      </c>
      <c r="C30" s="185"/>
      <c r="D30" s="183"/>
      <c r="E30" s="184"/>
      <c r="F30" s="126">
        <f t="shared" si="0"/>
        <v>0</v>
      </c>
      <c r="G30" s="178"/>
      <c r="H30" s="178"/>
      <c r="I30" s="126">
        <f t="shared" si="1"/>
        <v>0</v>
      </c>
      <c r="J30" s="91"/>
    </row>
    <row r="31" spans="2:10" ht="15" hidden="1" customHeight="1">
      <c r="B31" s="181">
        <v>10.023999999999999</v>
      </c>
      <c r="C31" s="185"/>
      <c r="D31" s="183"/>
      <c r="E31" s="184"/>
      <c r="F31" s="126">
        <f t="shared" si="0"/>
        <v>0</v>
      </c>
      <c r="G31" s="178"/>
      <c r="H31" s="178"/>
      <c r="I31" s="126">
        <f t="shared" si="1"/>
        <v>0</v>
      </c>
      <c r="J31" s="91"/>
    </row>
    <row r="32" spans="2:10" ht="15" hidden="1" customHeight="1">
      <c r="B32" s="181">
        <v>10.025</v>
      </c>
      <c r="C32" s="185"/>
      <c r="D32" s="183"/>
      <c r="E32" s="184"/>
      <c r="F32" s="126">
        <f t="shared" si="0"/>
        <v>0</v>
      </c>
      <c r="G32" s="178"/>
      <c r="H32" s="178"/>
      <c r="I32" s="126">
        <f t="shared" si="1"/>
        <v>0</v>
      </c>
      <c r="J32" s="91"/>
    </row>
    <row r="33" spans="2:14" ht="15" hidden="1" customHeight="1">
      <c r="B33" s="181">
        <v>10.026</v>
      </c>
      <c r="C33" s="185"/>
      <c r="D33" s="183"/>
      <c r="E33" s="184"/>
      <c r="F33" s="126">
        <f t="shared" si="0"/>
        <v>0</v>
      </c>
      <c r="G33" s="178"/>
      <c r="H33" s="178"/>
      <c r="I33" s="126">
        <f t="shared" si="1"/>
        <v>0</v>
      </c>
      <c r="J33" s="91"/>
    </row>
    <row r="34" spans="2:14" ht="15" customHeight="1">
      <c r="B34" s="181"/>
      <c r="C34" s="247"/>
      <c r="D34" s="233"/>
      <c r="E34" s="234"/>
      <c r="F34" s="144">
        <f t="shared" si="0"/>
        <v>0</v>
      </c>
      <c r="G34" s="236"/>
      <c r="H34" s="236"/>
      <c r="I34" s="126"/>
      <c r="J34" s="91"/>
    </row>
    <row r="35" spans="2:14" ht="15" customHeight="1">
      <c r="B35" s="181">
        <v>10.026999999999999</v>
      </c>
      <c r="C35" s="130"/>
      <c r="D35" s="233"/>
      <c r="E35" s="234">
        <v>0</v>
      </c>
      <c r="F35" s="144">
        <f t="shared" si="0"/>
        <v>0</v>
      </c>
      <c r="G35" s="236"/>
      <c r="H35" s="236"/>
      <c r="I35" s="126">
        <f t="shared" si="1"/>
        <v>0</v>
      </c>
      <c r="J35" s="91"/>
    </row>
    <row r="36" spans="2:14" ht="15" customHeight="1">
      <c r="B36" s="181">
        <v>10.028</v>
      </c>
      <c r="C36" s="131" t="s">
        <v>63</v>
      </c>
      <c r="D36" s="132">
        <f t="shared" ref="D36:I36" si="2">SUM(D8:D35)</f>
        <v>360</v>
      </c>
      <c r="E36" s="132">
        <f t="shared" si="2"/>
        <v>360</v>
      </c>
      <c r="F36" s="132">
        <f t="shared" si="2"/>
        <v>0</v>
      </c>
      <c r="G36" s="132">
        <f>SUM(G8:G35)</f>
        <v>1233</v>
      </c>
      <c r="H36" s="132">
        <f>SUM(H8:H35)</f>
        <v>1233</v>
      </c>
      <c r="I36" s="132">
        <f t="shared" si="2"/>
        <v>0</v>
      </c>
      <c r="J36" s="124"/>
    </row>
    <row r="37" spans="2:14" ht="9.75" customHeight="1">
      <c r="B37" s="181"/>
      <c r="C37" s="133"/>
      <c r="D37" s="134"/>
      <c r="E37" s="134"/>
      <c r="F37" s="134"/>
      <c r="G37" s="134"/>
      <c r="H37" s="134"/>
      <c r="I37" s="134"/>
      <c r="J37" s="135"/>
    </row>
    <row r="38" spans="2:14" ht="15" customHeight="1">
      <c r="B38" s="181"/>
      <c r="C38" s="136" t="s">
        <v>64</v>
      </c>
      <c r="D38" s="126"/>
      <c r="E38" s="126"/>
      <c r="F38" s="126"/>
      <c r="G38" s="126"/>
      <c r="H38" s="126"/>
      <c r="I38" s="127"/>
      <c r="J38" s="91"/>
    </row>
    <row r="39" spans="2:14" ht="15" customHeight="1">
      <c r="B39" s="181"/>
      <c r="C39" s="136" t="s">
        <v>65</v>
      </c>
      <c r="D39" s="126"/>
      <c r="E39" s="126"/>
      <c r="F39" s="126"/>
      <c r="G39" s="126"/>
      <c r="H39" s="126"/>
      <c r="I39" s="127"/>
      <c r="J39" s="91"/>
    </row>
    <row r="40" spans="2:14" ht="15" hidden="1" customHeight="1">
      <c r="B40" s="181">
        <v>10.029</v>
      </c>
      <c r="C40" s="127" t="s">
        <v>66</v>
      </c>
      <c r="D40" s="186"/>
      <c r="E40" s="186"/>
      <c r="F40" s="126">
        <f t="shared" ref="F40:F54" si="3">E40-D40</f>
        <v>0</v>
      </c>
      <c r="G40" s="178"/>
      <c r="H40" s="178"/>
      <c r="I40" s="126">
        <f t="shared" ref="I40:I54" si="4">H40-G40</f>
        <v>0</v>
      </c>
      <c r="J40" s="91"/>
      <c r="N40" s="119"/>
    </row>
    <row r="41" spans="2:14" ht="15.75" customHeight="1">
      <c r="B41" s="181">
        <v>10.029999999999999</v>
      </c>
      <c r="C41" s="127" t="s">
        <v>67</v>
      </c>
      <c r="D41" s="186">
        <v>0</v>
      </c>
      <c r="E41" s="186">
        <v>0</v>
      </c>
      <c r="F41" s="126">
        <f t="shared" si="3"/>
        <v>0</v>
      </c>
      <c r="G41" s="186">
        <f>650+420</f>
        <v>1070</v>
      </c>
      <c r="H41" s="186">
        <v>1070</v>
      </c>
      <c r="I41" s="126">
        <f t="shared" si="4"/>
        <v>0</v>
      </c>
      <c r="J41" s="91"/>
    </row>
    <row r="42" spans="2:14" ht="15" customHeight="1">
      <c r="B42" s="181">
        <v>10.031000000000001</v>
      </c>
      <c r="C42" s="127" t="s">
        <v>118</v>
      </c>
      <c r="D42" s="186">
        <v>0</v>
      </c>
      <c r="E42" s="186">
        <v>0</v>
      </c>
      <c r="F42" s="126">
        <f t="shared" si="3"/>
        <v>0</v>
      </c>
      <c r="G42" s="186">
        <v>1052</v>
      </c>
      <c r="H42" s="186">
        <v>1052</v>
      </c>
      <c r="I42" s="126">
        <f t="shared" si="4"/>
        <v>0</v>
      </c>
      <c r="J42" s="91"/>
    </row>
    <row r="43" spans="2:14" ht="15" hidden="1" customHeight="1">
      <c r="B43" s="181">
        <v>10.032</v>
      </c>
      <c r="C43" s="127" t="s">
        <v>68</v>
      </c>
      <c r="D43" s="186"/>
      <c r="E43" s="186"/>
      <c r="F43" s="126">
        <f t="shared" si="3"/>
        <v>0</v>
      </c>
      <c r="G43" s="186"/>
      <c r="H43" s="186"/>
      <c r="I43" s="126">
        <f t="shared" si="4"/>
        <v>0</v>
      </c>
      <c r="J43" s="91"/>
    </row>
    <row r="44" spans="2:14" ht="15" hidden="1" customHeight="1">
      <c r="B44" s="181">
        <v>10.032999999999999</v>
      </c>
      <c r="C44" s="127" t="s">
        <v>69</v>
      </c>
      <c r="D44" s="186"/>
      <c r="E44" s="186"/>
      <c r="F44" s="126">
        <f t="shared" si="3"/>
        <v>0</v>
      </c>
      <c r="G44" s="186"/>
      <c r="H44" s="186"/>
      <c r="I44" s="126">
        <f t="shared" si="4"/>
        <v>0</v>
      </c>
      <c r="J44" s="91"/>
    </row>
    <row r="45" spans="2:14" ht="15" hidden="1" customHeight="1">
      <c r="B45" s="181">
        <v>10.034000000000001</v>
      </c>
      <c r="C45" s="127" t="s">
        <v>119</v>
      </c>
      <c r="D45" s="186"/>
      <c r="E45" s="186"/>
      <c r="F45" s="126">
        <f t="shared" si="3"/>
        <v>0</v>
      </c>
      <c r="G45" s="186"/>
      <c r="H45" s="186"/>
      <c r="I45" s="126">
        <f t="shared" si="4"/>
        <v>0</v>
      </c>
      <c r="J45" s="91"/>
    </row>
    <row r="46" spans="2:14" ht="15" customHeight="1">
      <c r="B46" s="181">
        <v>10.035</v>
      </c>
      <c r="C46" s="127" t="s">
        <v>120</v>
      </c>
      <c r="D46" s="186">
        <v>712</v>
      </c>
      <c r="E46" s="186">
        <v>712</v>
      </c>
      <c r="F46" s="126">
        <f t="shared" si="3"/>
        <v>0</v>
      </c>
      <c r="G46" s="186">
        <v>1200</v>
      </c>
      <c r="H46" s="186">
        <v>1200</v>
      </c>
      <c r="I46" s="126">
        <f t="shared" si="4"/>
        <v>0</v>
      </c>
      <c r="J46" s="91"/>
    </row>
    <row r="47" spans="2:14" ht="15" customHeight="1">
      <c r="B47" s="181">
        <v>10.036</v>
      </c>
      <c r="C47" s="137" t="s">
        <v>70</v>
      </c>
      <c r="D47" s="138">
        <f>SUM(D40:D46)</f>
        <v>712</v>
      </c>
      <c r="E47" s="138">
        <f>SUM(E40:E46)</f>
        <v>712</v>
      </c>
      <c r="F47" s="138">
        <f t="shared" si="3"/>
        <v>0</v>
      </c>
      <c r="G47" s="138">
        <f>SUM(G40:G46)</f>
        <v>3322</v>
      </c>
      <c r="H47" s="138">
        <f>SUM(H40:H46)</f>
        <v>3322</v>
      </c>
      <c r="I47" s="138">
        <f t="shared" si="4"/>
        <v>0</v>
      </c>
      <c r="J47" s="91"/>
    </row>
    <row r="48" spans="2:14" ht="9.75" hidden="1" customHeight="1">
      <c r="B48" s="181"/>
      <c r="C48" s="127"/>
      <c r="D48" s="126"/>
      <c r="E48" s="126"/>
      <c r="F48" s="126"/>
      <c r="G48" s="126"/>
      <c r="H48" s="126"/>
      <c r="I48" s="126"/>
      <c r="J48" s="91"/>
    </row>
    <row r="49" spans="2:10" ht="15" hidden="1" customHeight="1">
      <c r="B49" s="181"/>
      <c r="C49" s="136" t="s">
        <v>71</v>
      </c>
      <c r="D49" s="126"/>
      <c r="E49" s="126"/>
      <c r="F49" s="126"/>
      <c r="G49" s="126"/>
      <c r="H49" s="126"/>
      <c r="I49" s="126"/>
      <c r="J49" s="91"/>
    </row>
    <row r="50" spans="2:10" ht="15" hidden="1" customHeight="1">
      <c r="B50" s="181">
        <v>10.037000000000001</v>
      </c>
      <c r="C50" s="127" t="s">
        <v>72</v>
      </c>
      <c r="D50" s="186"/>
      <c r="E50" s="186"/>
      <c r="F50" s="126">
        <f t="shared" si="3"/>
        <v>0</v>
      </c>
      <c r="G50" s="178"/>
      <c r="H50" s="178"/>
      <c r="I50" s="126">
        <f t="shared" si="4"/>
        <v>0</v>
      </c>
      <c r="J50" s="91"/>
    </row>
    <row r="51" spans="2:10" ht="15" hidden="1" customHeight="1">
      <c r="B51" s="181">
        <v>10.038</v>
      </c>
      <c r="C51" s="127" t="s">
        <v>73</v>
      </c>
      <c r="D51" s="186"/>
      <c r="E51" s="186"/>
      <c r="F51" s="126">
        <f t="shared" si="3"/>
        <v>0</v>
      </c>
      <c r="G51" s="178"/>
      <c r="H51" s="178"/>
      <c r="I51" s="126">
        <f t="shared" si="4"/>
        <v>0</v>
      </c>
      <c r="J51" s="91"/>
    </row>
    <row r="52" spans="2:10" ht="15" hidden="1" customHeight="1">
      <c r="B52" s="181">
        <v>10.039</v>
      </c>
      <c r="C52" s="127" t="s">
        <v>74</v>
      </c>
      <c r="D52" s="186"/>
      <c r="E52" s="186"/>
      <c r="F52" s="126">
        <f t="shared" si="3"/>
        <v>0</v>
      </c>
      <c r="G52" s="178"/>
      <c r="H52" s="178"/>
      <c r="I52" s="126">
        <f t="shared" si="4"/>
        <v>0</v>
      </c>
      <c r="J52" s="91"/>
    </row>
    <row r="53" spans="2:10" ht="15" hidden="1" customHeight="1">
      <c r="B53" s="181">
        <v>10.039999999999999</v>
      </c>
      <c r="C53" s="127" t="s">
        <v>75</v>
      </c>
      <c r="D53" s="186"/>
      <c r="E53" s="186"/>
      <c r="F53" s="126">
        <f t="shared" si="3"/>
        <v>0</v>
      </c>
      <c r="G53" s="178"/>
      <c r="H53" s="178"/>
      <c r="I53" s="126">
        <f t="shared" si="4"/>
        <v>0</v>
      </c>
      <c r="J53" s="91"/>
    </row>
    <row r="54" spans="2:10" ht="15" hidden="1" customHeight="1">
      <c r="B54" s="181">
        <v>10.041</v>
      </c>
      <c r="C54" s="137" t="s">
        <v>76</v>
      </c>
      <c r="D54" s="138">
        <f>SUM(D50:D53)</f>
        <v>0</v>
      </c>
      <c r="E54" s="138">
        <f>SUM(E50:E53)</f>
        <v>0</v>
      </c>
      <c r="F54" s="138">
        <f t="shared" si="3"/>
        <v>0</v>
      </c>
      <c r="G54" s="138">
        <f>SUM(G50:G53)</f>
        <v>0</v>
      </c>
      <c r="H54" s="138">
        <f>SUM(H50:H53)</f>
        <v>0</v>
      </c>
      <c r="I54" s="138">
        <f t="shared" si="4"/>
        <v>0</v>
      </c>
      <c r="J54" s="91"/>
    </row>
    <row r="55" spans="2:10" ht="9.75" customHeight="1">
      <c r="B55" s="181"/>
      <c r="C55" s="136"/>
      <c r="D55" s="126"/>
      <c r="E55" s="126"/>
      <c r="F55" s="126"/>
      <c r="G55" s="126"/>
      <c r="H55" s="126"/>
      <c r="I55" s="126"/>
      <c r="J55" s="91"/>
    </row>
    <row r="56" spans="2:10" ht="15" customHeight="1">
      <c r="B56" s="181"/>
      <c r="C56" s="133" t="s">
        <v>77</v>
      </c>
      <c r="D56" s="126"/>
      <c r="E56" s="126"/>
      <c r="F56" s="126"/>
      <c r="G56" s="126"/>
      <c r="H56" s="126"/>
      <c r="I56" s="126"/>
      <c r="J56" s="91"/>
    </row>
    <row r="57" spans="2:10" ht="15" customHeight="1">
      <c r="B57" s="181">
        <v>10.042</v>
      </c>
      <c r="C57" s="127" t="s">
        <v>121</v>
      </c>
      <c r="D57" s="186">
        <v>0</v>
      </c>
      <c r="E57" s="186">
        <v>0</v>
      </c>
      <c r="F57" s="126">
        <f>E57-D57</f>
        <v>0</v>
      </c>
      <c r="G57" s="295">
        <v>4580</v>
      </c>
      <c r="H57" s="295">
        <v>4580</v>
      </c>
      <c r="I57" s="126">
        <f>H57-G57</f>
        <v>0</v>
      </c>
      <c r="J57" s="91"/>
    </row>
    <row r="58" spans="2:10" ht="15" hidden="1" customHeight="1">
      <c r="B58" s="181">
        <v>10.042999999999999</v>
      </c>
      <c r="C58" s="127" t="s">
        <v>78</v>
      </c>
      <c r="D58" s="186"/>
      <c r="E58" s="186"/>
      <c r="F58" s="126">
        <f>E58-D58</f>
        <v>0</v>
      </c>
      <c r="G58" s="178"/>
      <c r="H58" s="178"/>
      <c r="I58" s="126">
        <f>H58-G58</f>
        <v>0</v>
      </c>
      <c r="J58" s="91"/>
    </row>
    <row r="59" spans="2:10" ht="15" customHeight="1">
      <c r="B59" s="181">
        <v>10.044</v>
      </c>
      <c r="C59" s="139" t="s">
        <v>79</v>
      </c>
      <c r="D59" s="140">
        <f>SUM(D57:D58)</f>
        <v>0</v>
      </c>
      <c r="E59" s="140">
        <f>SUM(E57:E58)</f>
        <v>0</v>
      </c>
      <c r="F59" s="138">
        <f>E59-D59</f>
        <v>0</v>
      </c>
      <c r="G59" s="140">
        <f>SUM(G57:G58)</f>
        <v>4580</v>
      </c>
      <c r="H59" s="141">
        <f>SUM(H57:H58)</f>
        <v>4580</v>
      </c>
      <c r="I59" s="138">
        <f>H59-G59</f>
        <v>0</v>
      </c>
      <c r="J59" s="91"/>
    </row>
    <row r="60" spans="2:10" ht="9.75" customHeight="1">
      <c r="B60" s="181"/>
      <c r="C60" s="351"/>
      <c r="D60" s="352"/>
      <c r="E60" s="352"/>
      <c r="F60" s="352"/>
      <c r="G60" s="352"/>
      <c r="H60" s="352"/>
      <c r="I60" s="353"/>
      <c r="J60" s="91"/>
    </row>
    <row r="61" spans="2:10" ht="15" customHeight="1">
      <c r="B61" s="181">
        <v>10.045</v>
      </c>
      <c r="C61" s="131" t="s">
        <v>80</v>
      </c>
      <c r="D61" s="132">
        <f>D47+D54+D59</f>
        <v>712</v>
      </c>
      <c r="E61" s="132">
        <f>E47+E54+E59</f>
        <v>712</v>
      </c>
      <c r="F61" s="132">
        <f>E61-D61</f>
        <v>0</v>
      </c>
      <c r="G61" s="132">
        <f>G47+G54+G59</f>
        <v>7902</v>
      </c>
      <c r="H61" s="132">
        <f>H47+H54+H59</f>
        <v>7902</v>
      </c>
      <c r="I61" s="132">
        <f>H61-G61</f>
        <v>0</v>
      </c>
      <c r="J61" s="124"/>
    </row>
    <row r="62" spans="2:10" ht="9.75" customHeight="1">
      <c r="B62" s="181"/>
      <c r="C62" s="142"/>
      <c r="D62" s="134"/>
      <c r="E62" s="134"/>
      <c r="F62" s="134"/>
      <c r="G62" s="134"/>
      <c r="H62" s="134"/>
      <c r="I62" s="134"/>
      <c r="J62" s="124"/>
    </row>
    <row r="63" spans="2:10" ht="15" customHeight="1">
      <c r="B63" s="181"/>
      <c r="C63" s="136" t="s">
        <v>81</v>
      </c>
      <c r="D63" s="126"/>
      <c r="E63" s="126"/>
      <c r="F63" s="126"/>
      <c r="G63" s="126"/>
      <c r="H63" s="126"/>
      <c r="I63" s="127"/>
      <c r="J63" s="91"/>
    </row>
    <row r="64" spans="2:10" ht="15" customHeight="1">
      <c r="B64" s="181">
        <v>10.045999999999999</v>
      </c>
      <c r="C64" s="143" t="s">
        <v>122</v>
      </c>
      <c r="D64" s="186">
        <v>639</v>
      </c>
      <c r="E64" s="186">
        <v>639</v>
      </c>
      <c r="F64" s="126">
        <f t="shared" ref="F64:F71" si="5">E64-D64</f>
        <v>0</v>
      </c>
      <c r="G64" s="178">
        <v>812</v>
      </c>
      <c r="H64" s="178">
        <v>812</v>
      </c>
      <c r="I64" s="126">
        <f t="shared" ref="I64:I71" si="6">H64-G64</f>
        <v>0</v>
      </c>
      <c r="J64" s="91"/>
    </row>
    <row r="65" spans="2:10" ht="15" hidden="1" customHeight="1">
      <c r="B65" s="181">
        <v>10.047000000000001</v>
      </c>
      <c r="C65" s="185"/>
      <c r="D65" s="186"/>
      <c r="E65" s="186"/>
      <c r="F65" s="126">
        <f t="shared" si="5"/>
        <v>0</v>
      </c>
      <c r="G65" s="178"/>
      <c r="H65" s="178"/>
      <c r="I65" s="126">
        <f t="shared" si="6"/>
        <v>0</v>
      </c>
      <c r="J65" s="91"/>
    </row>
    <row r="66" spans="2:10" ht="15" hidden="1" customHeight="1">
      <c r="B66" s="181">
        <v>10.048</v>
      </c>
      <c r="C66" s="185"/>
      <c r="D66" s="186"/>
      <c r="E66" s="186"/>
      <c r="F66" s="126">
        <f t="shared" si="5"/>
        <v>0</v>
      </c>
      <c r="G66" s="178"/>
      <c r="H66" s="178"/>
      <c r="I66" s="126">
        <f t="shared" si="6"/>
        <v>0</v>
      </c>
      <c r="J66" s="91"/>
    </row>
    <row r="67" spans="2:10" ht="15" hidden="1" customHeight="1">
      <c r="B67" s="181">
        <v>10.048999999999999</v>
      </c>
      <c r="C67" s="185"/>
      <c r="D67" s="186"/>
      <c r="E67" s="186"/>
      <c r="F67" s="126">
        <f t="shared" si="5"/>
        <v>0</v>
      </c>
      <c r="G67" s="178"/>
      <c r="H67" s="178"/>
      <c r="I67" s="126">
        <f t="shared" si="6"/>
        <v>0</v>
      </c>
      <c r="J67" s="91"/>
    </row>
    <row r="68" spans="2:10" ht="15" hidden="1" customHeight="1">
      <c r="B68" s="181">
        <v>10.050000000000001</v>
      </c>
      <c r="C68" s="185"/>
      <c r="D68" s="186"/>
      <c r="E68" s="186"/>
      <c r="F68" s="126">
        <f t="shared" si="5"/>
        <v>0</v>
      </c>
      <c r="G68" s="178"/>
      <c r="H68" s="178"/>
      <c r="I68" s="126">
        <f t="shared" si="6"/>
        <v>0</v>
      </c>
      <c r="J68" s="91"/>
    </row>
    <row r="69" spans="2:10" ht="15" hidden="1" customHeight="1">
      <c r="B69" s="181">
        <v>10.051</v>
      </c>
      <c r="C69" s="185"/>
      <c r="D69" s="186"/>
      <c r="E69" s="186"/>
      <c r="F69" s="126">
        <f t="shared" si="5"/>
        <v>0</v>
      </c>
      <c r="G69" s="178"/>
      <c r="H69" s="178"/>
      <c r="I69" s="126">
        <f t="shared" si="6"/>
        <v>0</v>
      </c>
      <c r="J69" s="91"/>
    </row>
    <row r="70" spans="2:10" ht="15" hidden="1" customHeight="1">
      <c r="B70" s="181">
        <v>10.052</v>
      </c>
      <c r="C70" s="185"/>
      <c r="D70" s="186"/>
      <c r="E70" s="186"/>
      <c r="F70" s="126">
        <f t="shared" si="5"/>
        <v>0</v>
      </c>
      <c r="G70" s="178"/>
      <c r="H70" s="178"/>
      <c r="I70" s="126">
        <f t="shared" si="6"/>
        <v>0</v>
      </c>
      <c r="J70" s="91"/>
    </row>
    <row r="71" spans="2:10" ht="15" customHeight="1">
      <c r="B71" s="181">
        <v>10.053000000000001</v>
      </c>
      <c r="C71" s="127" t="s">
        <v>166</v>
      </c>
      <c r="D71" s="186">
        <v>0</v>
      </c>
      <c r="E71" s="186">
        <v>0</v>
      </c>
      <c r="F71" s="126">
        <f t="shared" si="5"/>
        <v>0</v>
      </c>
      <c r="G71" s="178">
        <v>0</v>
      </c>
      <c r="H71" s="178">
        <v>0</v>
      </c>
      <c r="I71" s="126">
        <f t="shared" si="6"/>
        <v>0</v>
      </c>
      <c r="J71" s="91"/>
    </row>
    <row r="72" spans="2:10" ht="15" customHeight="1">
      <c r="B72" s="181">
        <v>10.054</v>
      </c>
      <c r="C72" s="131" t="s">
        <v>82</v>
      </c>
      <c r="D72" s="132">
        <f t="shared" ref="D72:I72" si="7">SUM(D64:D71)</f>
        <v>639</v>
      </c>
      <c r="E72" s="132">
        <f t="shared" si="7"/>
        <v>639</v>
      </c>
      <c r="F72" s="132">
        <f t="shared" si="7"/>
        <v>0</v>
      </c>
      <c r="G72" s="132">
        <f t="shared" si="7"/>
        <v>812</v>
      </c>
      <c r="H72" s="132">
        <f t="shared" si="7"/>
        <v>812</v>
      </c>
      <c r="I72" s="132">
        <f t="shared" si="7"/>
        <v>0</v>
      </c>
      <c r="J72" s="91"/>
    </row>
    <row r="73" spans="2:10" ht="9.75" customHeight="1">
      <c r="B73" s="181"/>
      <c r="C73" s="133"/>
      <c r="D73" s="144"/>
      <c r="E73" s="144"/>
      <c r="F73" s="144"/>
      <c r="G73" s="144"/>
      <c r="H73" s="144"/>
      <c r="I73" s="144"/>
      <c r="J73" s="91"/>
    </row>
    <row r="74" spans="2:10" ht="15" hidden="1" customHeight="1">
      <c r="B74" s="181"/>
      <c r="C74" s="136" t="s">
        <v>83</v>
      </c>
      <c r="D74" s="126"/>
      <c r="E74" s="126"/>
      <c r="F74" s="126"/>
      <c r="G74" s="126"/>
      <c r="H74" s="126"/>
      <c r="I74" s="127"/>
      <c r="J74" s="91"/>
    </row>
    <row r="75" spans="2:10" ht="15" hidden="1" customHeight="1">
      <c r="B75" s="181">
        <v>10.055</v>
      </c>
      <c r="C75" s="127" t="s">
        <v>123</v>
      </c>
      <c r="D75" s="186"/>
      <c r="E75" s="186"/>
      <c r="F75" s="126">
        <f>E75-D75</f>
        <v>0</v>
      </c>
      <c r="G75" s="178"/>
      <c r="H75" s="178"/>
      <c r="I75" s="126">
        <f>H75-G75</f>
        <v>0</v>
      </c>
      <c r="J75" s="91"/>
    </row>
    <row r="76" spans="2:10" ht="15" hidden="1" customHeight="1">
      <c r="B76" s="181">
        <v>10.055999999999999</v>
      </c>
      <c r="C76" s="127" t="s">
        <v>124</v>
      </c>
      <c r="D76" s="186"/>
      <c r="E76" s="186"/>
      <c r="F76" s="126"/>
      <c r="G76" s="178"/>
      <c r="H76" s="178"/>
      <c r="I76" s="126"/>
      <c r="J76" s="91"/>
    </row>
    <row r="77" spans="2:10" ht="15" hidden="1" customHeight="1">
      <c r="B77" s="181">
        <v>10.057</v>
      </c>
      <c r="C77" s="127" t="s">
        <v>11</v>
      </c>
      <c r="D77" s="186"/>
      <c r="E77" s="186"/>
      <c r="F77" s="126">
        <f>E77-D77</f>
        <v>0</v>
      </c>
      <c r="G77" s="178"/>
      <c r="H77" s="178"/>
      <c r="I77" s="126">
        <f>H77-G77</f>
        <v>0</v>
      </c>
      <c r="J77" s="91"/>
    </row>
    <row r="78" spans="2:10" ht="15" hidden="1" customHeight="1">
      <c r="B78" s="181">
        <v>10.058</v>
      </c>
      <c r="C78" s="145" t="s">
        <v>84</v>
      </c>
      <c r="D78" s="132">
        <f t="shared" ref="D78:I78" si="8">SUM(D75:D77)</f>
        <v>0</v>
      </c>
      <c r="E78" s="132">
        <f t="shared" si="8"/>
        <v>0</v>
      </c>
      <c r="F78" s="132">
        <f t="shared" si="8"/>
        <v>0</v>
      </c>
      <c r="G78" s="132">
        <f t="shared" si="8"/>
        <v>0</v>
      </c>
      <c r="H78" s="132">
        <f t="shared" si="8"/>
        <v>0</v>
      </c>
      <c r="I78" s="132">
        <f t="shared" si="8"/>
        <v>0</v>
      </c>
      <c r="J78" s="124"/>
    </row>
    <row r="79" spans="2:10" ht="9.75" customHeight="1">
      <c r="B79" s="181"/>
      <c r="C79" s="354"/>
      <c r="D79" s="355"/>
      <c r="E79" s="355"/>
      <c r="F79" s="355"/>
      <c r="G79" s="355"/>
      <c r="H79" s="355"/>
      <c r="I79" s="356"/>
      <c r="J79" s="124"/>
    </row>
    <row r="80" spans="2:10" ht="15" customHeight="1">
      <c r="B80" s="181">
        <v>10.058999999999999</v>
      </c>
      <c r="C80" s="131" t="s">
        <v>125</v>
      </c>
      <c r="D80" s="132">
        <f t="shared" ref="D80:I80" si="9">D36+D61+D72+D78</f>
        <v>1711</v>
      </c>
      <c r="E80" s="132">
        <f t="shared" si="9"/>
        <v>1711</v>
      </c>
      <c r="F80" s="132">
        <f t="shared" si="9"/>
        <v>0</v>
      </c>
      <c r="G80" s="132">
        <f t="shared" si="9"/>
        <v>9947</v>
      </c>
      <c r="H80" s="132">
        <f t="shared" si="9"/>
        <v>9947</v>
      </c>
      <c r="I80" s="132">
        <f t="shared" si="9"/>
        <v>0</v>
      </c>
      <c r="J80" s="91"/>
    </row>
    <row r="81" spans="2:12" ht="9.75" customHeight="1">
      <c r="B81" s="181"/>
      <c r="C81" s="354"/>
      <c r="D81" s="355"/>
      <c r="E81" s="355"/>
      <c r="F81" s="355"/>
      <c r="G81" s="355"/>
      <c r="H81" s="355"/>
      <c r="I81" s="356"/>
      <c r="J81" s="91"/>
    </row>
    <row r="82" spans="2:12" ht="15" hidden="1" customHeight="1">
      <c r="B82" s="181"/>
      <c r="C82" s="136" t="s">
        <v>126</v>
      </c>
      <c r="D82" s="146"/>
      <c r="E82" s="146"/>
      <c r="F82" s="146"/>
      <c r="G82" s="146"/>
      <c r="H82" s="146"/>
      <c r="I82" s="147"/>
      <c r="J82" s="91"/>
    </row>
    <row r="83" spans="2:12" ht="15" hidden="1" customHeight="1">
      <c r="B83" s="181">
        <v>10.06</v>
      </c>
      <c r="C83" s="130" t="s">
        <v>127</v>
      </c>
      <c r="D83" s="144">
        <f>-D76</f>
        <v>0</v>
      </c>
      <c r="E83" s="144">
        <f>-E76</f>
        <v>0</v>
      </c>
      <c r="F83" s="144">
        <f>E83-D83</f>
        <v>0</v>
      </c>
      <c r="G83" s="144">
        <f>-G76</f>
        <v>0</v>
      </c>
      <c r="H83" s="144">
        <f>-H76</f>
        <v>0</v>
      </c>
      <c r="I83" s="126">
        <f>H83-G83</f>
        <v>0</v>
      </c>
      <c r="J83" s="91"/>
    </row>
    <row r="84" spans="2:12" ht="15" hidden="1" customHeight="1">
      <c r="B84" s="181">
        <v>10.061</v>
      </c>
      <c r="C84" s="187" t="s">
        <v>128</v>
      </c>
      <c r="D84" s="126">
        <f>D135</f>
        <v>0</v>
      </c>
      <c r="E84" s="126">
        <f>E135</f>
        <v>0</v>
      </c>
      <c r="F84" s="126">
        <f>E84-D84</f>
        <v>0</v>
      </c>
      <c r="G84" s="126">
        <f>G135</f>
        <v>0</v>
      </c>
      <c r="H84" s="126">
        <f>H135</f>
        <v>0</v>
      </c>
      <c r="I84" s="126">
        <f>H84-G84</f>
        <v>0</v>
      </c>
      <c r="J84" s="91"/>
    </row>
    <row r="85" spans="2:12" ht="15" hidden="1" customHeight="1">
      <c r="B85" s="181">
        <v>10.061999999999999</v>
      </c>
      <c r="C85" s="188" t="s">
        <v>129</v>
      </c>
      <c r="D85" s="186"/>
      <c r="E85" s="186"/>
      <c r="F85" s="126">
        <f>E85-D85</f>
        <v>0</v>
      </c>
      <c r="G85" s="178"/>
      <c r="H85" s="178"/>
      <c r="I85" s="126">
        <f>H85-G85</f>
        <v>0</v>
      </c>
      <c r="J85" s="91"/>
      <c r="L85" s="148"/>
    </row>
    <row r="86" spans="2:12" ht="15" hidden="1" customHeight="1">
      <c r="B86" s="181">
        <v>10.063000000000001</v>
      </c>
      <c r="C86" s="189" t="s">
        <v>130</v>
      </c>
      <c r="D86" s="150">
        <f t="shared" ref="D86:I86" si="10">SUM(D83:D85)</f>
        <v>0</v>
      </c>
      <c r="E86" s="150">
        <f t="shared" si="10"/>
        <v>0</v>
      </c>
      <c r="F86" s="150">
        <f t="shared" si="10"/>
        <v>0</v>
      </c>
      <c r="G86" s="150">
        <f t="shared" si="10"/>
        <v>0</v>
      </c>
      <c r="H86" s="150">
        <f t="shared" si="10"/>
        <v>0</v>
      </c>
      <c r="I86" s="150">
        <f t="shared" si="10"/>
        <v>0</v>
      </c>
      <c r="J86" s="91"/>
    </row>
    <row r="87" spans="2:12" ht="9.75" customHeight="1">
      <c r="B87" s="181"/>
      <c r="C87" s="350"/>
      <c r="D87" s="347"/>
      <c r="E87" s="347"/>
      <c r="F87" s="347"/>
      <c r="G87" s="347"/>
      <c r="H87" s="347"/>
      <c r="I87" s="349"/>
      <c r="J87" s="91"/>
    </row>
    <row r="88" spans="2:12" ht="15" customHeight="1">
      <c r="B88" s="181">
        <v>10.064</v>
      </c>
      <c r="C88" s="190" t="s">
        <v>131</v>
      </c>
      <c r="D88" s="132">
        <f t="shared" ref="D88:I88" si="11">D80+D86</f>
        <v>1711</v>
      </c>
      <c r="E88" s="132">
        <f t="shared" si="11"/>
        <v>1711</v>
      </c>
      <c r="F88" s="132">
        <f t="shared" si="11"/>
        <v>0</v>
      </c>
      <c r="G88" s="132">
        <f t="shared" si="11"/>
        <v>9947</v>
      </c>
      <c r="H88" s="132">
        <f t="shared" si="11"/>
        <v>9947</v>
      </c>
      <c r="I88" s="132">
        <f t="shared" si="11"/>
        <v>0</v>
      </c>
      <c r="J88" s="91"/>
    </row>
    <row r="89" spans="2:12" ht="9.75" customHeight="1">
      <c r="B89" s="181"/>
      <c r="C89" s="348"/>
      <c r="D89" s="347"/>
      <c r="E89" s="347"/>
      <c r="F89" s="347"/>
      <c r="G89" s="347"/>
      <c r="H89" s="347"/>
      <c r="I89" s="349"/>
      <c r="J89" s="91"/>
    </row>
    <row r="90" spans="2:12" ht="15" hidden="1" customHeight="1">
      <c r="B90" s="181"/>
      <c r="C90" s="151" t="s">
        <v>132</v>
      </c>
      <c r="D90" s="126"/>
      <c r="E90" s="126"/>
      <c r="F90" s="126"/>
      <c r="G90" s="126"/>
      <c r="H90" s="126"/>
      <c r="I90" s="126"/>
      <c r="J90" s="91"/>
    </row>
    <row r="91" spans="2:12" ht="15" hidden="1" customHeight="1">
      <c r="B91" s="181">
        <v>10.065</v>
      </c>
      <c r="C91" s="130" t="s">
        <v>133</v>
      </c>
      <c r="D91" s="144">
        <f>D149</f>
        <v>0</v>
      </c>
      <c r="E91" s="144">
        <f>E149</f>
        <v>0</v>
      </c>
      <c r="F91" s="126">
        <f>E91-D91</f>
        <v>0</v>
      </c>
      <c r="G91" s="144">
        <f>G149</f>
        <v>0</v>
      </c>
      <c r="H91" s="144">
        <f>H149</f>
        <v>0</v>
      </c>
      <c r="I91" s="126">
        <f>H91-G91</f>
        <v>0</v>
      </c>
      <c r="J91" s="91"/>
    </row>
    <row r="92" spans="2:12" ht="9.75" customHeight="1">
      <c r="B92" s="181"/>
      <c r="C92" s="350"/>
      <c r="D92" s="347"/>
      <c r="E92" s="347"/>
      <c r="F92" s="347"/>
      <c r="G92" s="347"/>
      <c r="H92" s="347"/>
      <c r="I92" s="349"/>
      <c r="J92" s="91"/>
    </row>
    <row r="93" spans="2:12" ht="15" customHeight="1">
      <c r="B93" s="181">
        <v>10.066000000000001</v>
      </c>
      <c r="C93" s="190" t="s">
        <v>134</v>
      </c>
      <c r="D93" s="153">
        <f t="shared" ref="D93:I93" si="12">D88+D91</f>
        <v>1711</v>
      </c>
      <c r="E93" s="153">
        <f t="shared" si="12"/>
        <v>1711</v>
      </c>
      <c r="F93" s="153">
        <f t="shared" si="12"/>
        <v>0</v>
      </c>
      <c r="G93" s="153">
        <f t="shared" si="12"/>
        <v>9947</v>
      </c>
      <c r="H93" s="153">
        <f t="shared" si="12"/>
        <v>9947</v>
      </c>
      <c r="I93" s="153">
        <f t="shared" si="12"/>
        <v>0</v>
      </c>
      <c r="J93" s="91"/>
    </row>
    <row r="94" spans="2:12" ht="15" customHeight="1">
      <c r="B94" s="181"/>
      <c r="C94" s="191"/>
      <c r="D94" s="192"/>
      <c r="E94" s="192"/>
      <c r="F94" s="192"/>
      <c r="G94" s="192"/>
      <c r="H94" s="192"/>
      <c r="I94" s="191"/>
      <c r="J94" s="91"/>
    </row>
    <row r="95" spans="2:12" ht="15" customHeight="1">
      <c r="B95" s="181"/>
      <c r="C95" s="136" t="s">
        <v>135</v>
      </c>
      <c r="D95" s="126"/>
      <c r="E95" s="126"/>
      <c r="F95" s="126"/>
      <c r="G95" s="126"/>
      <c r="H95" s="126"/>
      <c r="I95" s="127"/>
      <c r="J95" s="91"/>
    </row>
    <row r="96" spans="2:12" ht="15" customHeight="1">
      <c r="B96" s="181">
        <v>10.067</v>
      </c>
      <c r="C96" s="187" t="s">
        <v>136</v>
      </c>
      <c r="D96" s="186">
        <v>1711</v>
      </c>
      <c r="E96" s="186">
        <v>1711</v>
      </c>
      <c r="F96" s="144">
        <f t="shared" ref="F96:F101" si="13">E96-D96</f>
        <v>0</v>
      </c>
      <c r="G96" s="178">
        <v>7691</v>
      </c>
      <c r="H96" s="178">
        <v>7691</v>
      </c>
      <c r="I96" s="126">
        <f t="shared" ref="I96:I101" si="14">H96-G96</f>
        <v>0</v>
      </c>
      <c r="J96" s="91"/>
    </row>
    <row r="97" spans="2:10" ht="15" customHeight="1">
      <c r="B97" s="181">
        <v>10.068</v>
      </c>
      <c r="C97" s="187" t="s">
        <v>137</v>
      </c>
      <c r="D97" s="186">
        <v>0</v>
      </c>
      <c r="E97" s="186">
        <v>0</v>
      </c>
      <c r="F97" s="126">
        <f t="shared" si="13"/>
        <v>0</v>
      </c>
      <c r="G97" s="178">
        <v>0</v>
      </c>
      <c r="H97" s="178">
        <v>0</v>
      </c>
      <c r="I97" s="126">
        <f t="shared" si="14"/>
        <v>0</v>
      </c>
      <c r="J97" s="91"/>
    </row>
    <row r="98" spans="2:10" ht="15" customHeight="1">
      <c r="B98" s="181">
        <v>10.069000000000001</v>
      </c>
      <c r="C98" s="187" t="s">
        <v>138</v>
      </c>
      <c r="D98" s="186">
        <v>0</v>
      </c>
      <c r="E98" s="186">
        <v>0</v>
      </c>
      <c r="F98" s="126">
        <f t="shared" si="13"/>
        <v>0</v>
      </c>
      <c r="G98" s="178">
        <v>0</v>
      </c>
      <c r="H98" s="178">
        <v>0</v>
      </c>
      <c r="I98" s="126">
        <f t="shared" si="14"/>
        <v>0</v>
      </c>
      <c r="J98" s="91"/>
    </row>
    <row r="99" spans="2:10" ht="15" customHeight="1">
      <c r="B99" s="181">
        <v>10.07</v>
      </c>
      <c r="C99" s="187" t="s">
        <v>139</v>
      </c>
      <c r="D99" s="186">
        <v>0</v>
      </c>
      <c r="E99" s="186">
        <v>0</v>
      </c>
      <c r="F99" s="126">
        <f t="shared" si="13"/>
        <v>0</v>
      </c>
      <c r="G99" s="178">
        <v>0</v>
      </c>
      <c r="H99" s="178">
        <v>0</v>
      </c>
      <c r="I99" s="126">
        <f t="shared" si="14"/>
        <v>0</v>
      </c>
      <c r="J99" s="91"/>
    </row>
    <row r="100" spans="2:10" ht="15" customHeight="1">
      <c r="B100" s="181">
        <v>10.071</v>
      </c>
      <c r="C100" s="187" t="s">
        <v>140</v>
      </c>
      <c r="D100" s="186">
        <v>0</v>
      </c>
      <c r="E100" s="186">
        <v>0</v>
      </c>
      <c r="F100" s="126">
        <f t="shared" si="13"/>
        <v>0</v>
      </c>
      <c r="G100" s="178">
        <v>0</v>
      </c>
      <c r="H100" s="178">
        <v>0</v>
      </c>
      <c r="I100" s="126">
        <f t="shared" si="14"/>
        <v>0</v>
      </c>
      <c r="J100" s="91"/>
    </row>
    <row r="101" spans="2:10" ht="15" customHeight="1">
      <c r="B101" s="181">
        <v>10.071999999999999</v>
      </c>
      <c r="C101" s="187" t="s">
        <v>141</v>
      </c>
      <c r="D101" s="193">
        <v>0</v>
      </c>
      <c r="E101" s="186">
        <v>0</v>
      </c>
      <c r="F101" s="126">
        <f t="shared" si="13"/>
        <v>0</v>
      </c>
      <c r="G101" s="178">
        <v>2256</v>
      </c>
      <c r="H101" s="178">
        <v>2256</v>
      </c>
      <c r="I101" s="126">
        <f t="shared" si="14"/>
        <v>0</v>
      </c>
      <c r="J101" s="91"/>
    </row>
    <row r="102" spans="2:10" ht="15" customHeight="1">
      <c r="B102" s="181">
        <v>10.073</v>
      </c>
      <c r="C102" s="131" t="s">
        <v>142</v>
      </c>
      <c r="D102" s="132">
        <f t="shared" ref="D102:I102" si="15">SUM(D96:D101)</f>
        <v>1711</v>
      </c>
      <c r="E102" s="132">
        <f t="shared" si="15"/>
        <v>1711</v>
      </c>
      <c r="F102" s="132">
        <f t="shared" si="15"/>
        <v>0</v>
      </c>
      <c r="G102" s="132">
        <f t="shared" si="15"/>
        <v>9947</v>
      </c>
      <c r="H102" s="132">
        <f t="shared" si="15"/>
        <v>9947</v>
      </c>
      <c r="I102" s="132">
        <f t="shared" si="15"/>
        <v>0</v>
      </c>
      <c r="J102" s="91"/>
    </row>
    <row r="103" spans="2:10" ht="15" customHeight="1">
      <c r="B103" s="181"/>
      <c r="C103" s="346"/>
      <c r="D103" s="347"/>
      <c r="E103" s="347"/>
      <c r="F103" s="347"/>
      <c r="G103" s="347"/>
      <c r="H103" s="347"/>
      <c r="I103" s="347"/>
      <c r="J103" s="91"/>
    </row>
    <row r="104" spans="2:10" ht="15" customHeight="1">
      <c r="B104" s="181">
        <v>10.074</v>
      </c>
      <c r="C104" s="194" t="s">
        <v>143</v>
      </c>
      <c r="D104" s="195">
        <f>D102-D93</f>
        <v>0</v>
      </c>
      <c r="E104" s="196">
        <f>E102-E93</f>
        <v>0</v>
      </c>
      <c r="F104" s="196">
        <f>E104-D104</f>
        <v>0</v>
      </c>
      <c r="G104" s="196">
        <f>G102-G93</f>
        <v>0</v>
      </c>
      <c r="H104" s="196">
        <f>H102-H93</f>
        <v>0</v>
      </c>
      <c r="I104" s="196">
        <f>H104-G104</f>
        <v>0</v>
      </c>
      <c r="J104" s="91"/>
    </row>
    <row r="105" spans="2:10" ht="15" customHeight="1" thickBot="1">
      <c r="B105" s="197"/>
      <c r="C105" s="109"/>
      <c r="D105" s="109"/>
      <c r="E105" s="109"/>
      <c r="F105" s="109"/>
      <c r="G105" s="109"/>
      <c r="H105" s="109"/>
      <c r="I105" s="109"/>
      <c r="J105" s="110"/>
    </row>
    <row r="106" spans="2:10" ht="15" hidden="1" customHeight="1" thickBot="1">
      <c r="B106" s="201"/>
      <c r="C106" s="202"/>
      <c r="D106" s="202"/>
      <c r="E106" s="202"/>
      <c r="F106" s="202"/>
      <c r="G106" s="202"/>
      <c r="H106" s="202"/>
      <c r="I106" s="202"/>
      <c r="J106" s="203"/>
    </row>
    <row r="107" spans="2:10" ht="15" hidden="1" customHeight="1">
      <c r="B107" s="179"/>
      <c r="C107" s="80"/>
      <c r="D107" s="80"/>
      <c r="E107" s="80"/>
      <c r="F107" s="80"/>
      <c r="G107" s="80"/>
      <c r="H107" s="80"/>
      <c r="I107" s="80"/>
      <c r="J107" s="82"/>
    </row>
    <row r="108" spans="2:10" ht="15" hidden="1" customHeight="1">
      <c r="B108" s="181"/>
      <c r="C108" s="343" t="s">
        <v>144</v>
      </c>
      <c r="D108" s="345" t="s">
        <v>1</v>
      </c>
      <c r="E108" s="345"/>
      <c r="F108" s="345"/>
      <c r="G108" s="345" t="s">
        <v>116</v>
      </c>
      <c r="H108" s="345"/>
      <c r="I108" s="345"/>
      <c r="J108" s="91"/>
    </row>
    <row r="109" spans="2:10" ht="45" hidden="1" customHeight="1">
      <c r="B109" s="182" t="s">
        <v>56</v>
      </c>
      <c r="C109" s="344"/>
      <c r="D109" s="125" t="s">
        <v>57</v>
      </c>
      <c r="E109" s="125" t="s">
        <v>58</v>
      </c>
      <c r="F109" s="125" t="s">
        <v>59</v>
      </c>
      <c r="G109" s="125" t="s">
        <v>60</v>
      </c>
      <c r="H109" s="125" t="s">
        <v>61</v>
      </c>
      <c r="I109" s="125" t="s">
        <v>62</v>
      </c>
      <c r="J109" s="91"/>
    </row>
    <row r="110" spans="2:10" ht="15" hidden="1" customHeight="1">
      <c r="B110" s="182"/>
      <c r="C110" s="204" t="s">
        <v>145</v>
      </c>
      <c r="D110" s="205"/>
      <c r="E110" s="205"/>
      <c r="F110" s="205"/>
      <c r="G110" s="205"/>
      <c r="H110" s="205"/>
      <c r="I110" s="205"/>
      <c r="J110" s="91"/>
    </row>
    <row r="111" spans="2:10" ht="15" hidden="1" customHeight="1">
      <c r="B111" s="181"/>
      <c r="C111" s="136" t="s">
        <v>86</v>
      </c>
      <c r="D111" s="126"/>
      <c r="E111" s="126"/>
      <c r="F111" s="126"/>
      <c r="G111" s="126"/>
      <c r="H111" s="126"/>
      <c r="I111" s="127"/>
      <c r="J111" s="91"/>
    </row>
    <row r="112" spans="2:10" ht="15" hidden="1" customHeight="1">
      <c r="B112" s="181">
        <v>10.074999999999999</v>
      </c>
      <c r="C112" s="185"/>
      <c r="D112" s="186"/>
      <c r="E112" s="186"/>
      <c r="F112" s="144">
        <f t="shared" ref="F112:F121" si="16">E112-D112</f>
        <v>0</v>
      </c>
      <c r="G112" s="178"/>
      <c r="H112" s="178"/>
      <c r="I112" s="126">
        <f t="shared" ref="I112:I121" si="17">H112-G112</f>
        <v>0</v>
      </c>
      <c r="J112" s="91"/>
    </row>
    <row r="113" spans="2:10" ht="15" hidden="1" customHeight="1">
      <c r="B113" s="181">
        <v>10.076000000000001</v>
      </c>
      <c r="C113" s="185"/>
      <c r="D113" s="186"/>
      <c r="E113" s="186"/>
      <c r="F113" s="126">
        <f t="shared" si="16"/>
        <v>0</v>
      </c>
      <c r="G113" s="178"/>
      <c r="H113" s="178"/>
      <c r="I113" s="126">
        <f t="shared" si="17"/>
        <v>0</v>
      </c>
      <c r="J113" s="91"/>
    </row>
    <row r="114" spans="2:10" ht="15" hidden="1" customHeight="1">
      <c r="B114" s="181">
        <v>10.077</v>
      </c>
      <c r="C114" s="185"/>
      <c r="D114" s="186"/>
      <c r="E114" s="186"/>
      <c r="F114" s="126">
        <f t="shared" si="16"/>
        <v>0</v>
      </c>
      <c r="G114" s="178"/>
      <c r="H114" s="178"/>
      <c r="I114" s="126">
        <f t="shared" si="17"/>
        <v>0</v>
      </c>
      <c r="J114" s="91"/>
    </row>
    <row r="115" spans="2:10" ht="15" hidden="1" customHeight="1">
      <c r="B115" s="181">
        <v>10.077999999999999</v>
      </c>
      <c r="C115" s="185"/>
      <c r="D115" s="186"/>
      <c r="E115" s="186"/>
      <c r="F115" s="126">
        <f t="shared" si="16"/>
        <v>0</v>
      </c>
      <c r="G115" s="178"/>
      <c r="H115" s="178"/>
      <c r="I115" s="126">
        <f t="shared" si="17"/>
        <v>0</v>
      </c>
      <c r="J115" s="91"/>
    </row>
    <row r="116" spans="2:10" ht="15" hidden="1" customHeight="1">
      <c r="B116" s="181">
        <v>10.079000000000001</v>
      </c>
      <c r="C116" s="185"/>
      <c r="D116" s="186"/>
      <c r="E116" s="186"/>
      <c r="F116" s="126">
        <f t="shared" si="16"/>
        <v>0</v>
      </c>
      <c r="G116" s="178"/>
      <c r="H116" s="178"/>
      <c r="I116" s="126">
        <f t="shared" si="17"/>
        <v>0</v>
      </c>
      <c r="J116" s="91"/>
    </row>
    <row r="117" spans="2:10" ht="15" hidden="1" customHeight="1">
      <c r="B117" s="181">
        <v>10.08</v>
      </c>
      <c r="C117" s="185"/>
      <c r="D117" s="186"/>
      <c r="E117" s="186"/>
      <c r="F117" s="126">
        <f t="shared" si="16"/>
        <v>0</v>
      </c>
      <c r="G117" s="178"/>
      <c r="H117" s="178"/>
      <c r="I117" s="126">
        <f t="shared" si="17"/>
        <v>0</v>
      </c>
      <c r="J117" s="91"/>
    </row>
    <row r="118" spans="2:10" ht="15" hidden="1" customHeight="1">
      <c r="B118" s="181">
        <v>10.081</v>
      </c>
      <c r="C118" s="185"/>
      <c r="D118" s="186"/>
      <c r="E118" s="186"/>
      <c r="F118" s="126">
        <f t="shared" si="16"/>
        <v>0</v>
      </c>
      <c r="G118" s="178"/>
      <c r="H118" s="178"/>
      <c r="I118" s="126">
        <f t="shared" si="17"/>
        <v>0</v>
      </c>
      <c r="J118" s="91"/>
    </row>
    <row r="119" spans="2:10" ht="15" hidden="1" customHeight="1">
      <c r="B119" s="181">
        <v>10.082000000000001</v>
      </c>
      <c r="C119" s="185"/>
      <c r="D119" s="186"/>
      <c r="E119" s="186"/>
      <c r="F119" s="126">
        <f t="shared" si="16"/>
        <v>0</v>
      </c>
      <c r="G119" s="178"/>
      <c r="H119" s="178"/>
      <c r="I119" s="126">
        <f t="shared" si="17"/>
        <v>0</v>
      </c>
      <c r="J119" s="91"/>
    </row>
    <row r="120" spans="2:10" ht="15" hidden="1" customHeight="1">
      <c r="B120" s="181">
        <v>10.083</v>
      </c>
      <c r="C120" s="185"/>
      <c r="D120" s="186"/>
      <c r="E120" s="186"/>
      <c r="F120" s="126">
        <f t="shared" si="16"/>
        <v>0</v>
      </c>
      <c r="G120" s="178"/>
      <c r="H120" s="178"/>
      <c r="I120" s="126">
        <f t="shared" si="17"/>
        <v>0</v>
      </c>
      <c r="J120" s="91"/>
    </row>
    <row r="121" spans="2:10" ht="15" hidden="1" customHeight="1">
      <c r="B121" s="181">
        <v>10.084</v>
      </c>
      <c r="C121" s="156" t="s">
        <v>87</v>
      </c>
      <c r="D121" s="206"/>
      <c r="E121" s="206"/>
      <c r="F121" s="149">
        <f t="shared" si="16"/>
        <v>0</v>
      </c>
      <c r="G121" s="178"/>
      <c r="H121" s="178"/>
      <c r="I121" s="149">
        <f t="shared" si="17"/>
        <v>0</v>
      </c>
      <c r="J121" s="91"/>
    </row>
    <row r="122" spans="2:10" ht="15" hidden="1" customHeight="1">
      <c r="B122" s="181">
        <v>10.085000000000001</v>
      </c>
      <c r="C122" s="157" t="s">
        <v>88</v>
      </c>
      <c r="D122" s="132">
        <f t="shared" ref="D122:I122" si="18">SUM(D112:D121)</f>
        <v>0</v>
      </c>
      <c r="E122" s="132">
        <f t="shared" si="18"/>
        <v>0</v>
      </c>
      <c r="F122" s="132">
        <f t="shared" si="18"/>
        <v>0</v>
      </c>
      <c r="G122" s="132">
        <f t="shared" si="18"/>
        <v>0</v>
      </c>
      <c r="H122" s="132">
        <f t="shared" si="18"/>
        <v>0</v>
      </c>
      <c r="I122" s="132">
        <f t="shared" si="18"/>
        <v>0</v>
      </c>
      <c r="J122" s="91"/>
    </row>
    <row r="123" spans="2:10" ht="9.75" hidden="1" customHeight="1">
      <c r="B123" s="181"/>
      <c r="C123" s="207"/>
      <c r="D123" s="208"/>
      <c r="E123" s="208"/>
      <c r="F123" s="208"/>
      <c r="G123" s="208"/>
      <c r="H123" s="208"/>
      <c r="I123" s="208"/>
      <c r="J123" s="91"/>
    </row>
    <row r="124" spans="2:10" ht="15" hidden="1" customHeight="1">
      <c r="B124" s="181"/>
      <c r="C124" s="209" t="s">
        <v>146</v>
      </c>
      <c r="D124" s="210"/>
      <c r="E124" s="146"/>
      <c r="F124" s="146"/>
      <c r="G124" s="146"/>
      <c r="H124" s="146"/>
      <c r="I124" s="147"/>
      <c r="J124" s="91"/>
    </row>
    <row r="125" spans="2:10" ht="15" hidden="1" customHeight="1">
      <c r="B125" s="181">
        <v>10.086</v>
      </c>
      <c r="C125" s="185"/>
      <c r="D125" s="186"/>
      <c r="E125" s="186"/>
      <c r="F125" s="144">
        <f t="shared" ref="F125:F134" si="19">E125-D125</f>
        <v>0</v>
      </c>
      <c r="G125" s="178"/>
      <c r="H125" s="178"/>
      <c r="I125" s="126">
        <f t="shared" ref="I125:I134" si="20">H125-G125</f>
        <v>0</v>
      </c>
      <c r="J125" s="91"/>
    </row>
    <row r="126" spans="2:10" ht="15" hidden="1" customHeight="1">
      <c r="B126" s="181">
        <v>10.087</v>
      </c>
      <c r="C126" s="185"/>
      <c r="D126" s="186"/>
      <c r="E126" s="186"/>
      <c r="F126" s="126">
        <f t="shared" si="19"/>
        <v>0</v>
      </c>
      <c r="G126" s="178"/>
      <c r="H126" s="178"/>
      <c r="I126" s="126">
        <f t="shared" si="20"/>
        <v>0</v>
      </c>
      <c r="J126" s="91"/>
    </row>
    <row r="127" spans="2:10" ht="15" hidden="1" customHeight="1">
      <c r="B127" s="181">
        <v>10.087999999999999</v>
      </c>
      <c r="C127" s="185"/>
      <c r="D127" s="186"/>
      <c r="E127" s="186"/>
      <c r="F127" s="126">
        <f t="shared" si="19"/>
        <v>0</v>
      </c>
      <c r="G127" s="178"/>
      <c r="H127" s="178"/>
      <c r="I127" s="126">
        <f t="shared" si="20"/>
        <v>0</v>
      </c>
      <c r="J127" s="91"/>
    </row>
    <row r="128" spans="2:10" ht="15" hidden="1" customHeight="1">
      <c r="B128" s="181">
        <v>10.089</v>
      </c>
      <c r="C128" s="185"/>
      <c r="D128" s="186"/>
      <c r="E128" s="186"/>
      <c r="F128" s="126">
        <f t="shared" si="19"/>
        <v>0</v>
      </c>
      <c r="G128" s="178"/>
      <c r="H128" s="178"/>
      <c r="I128" s="126">
        <f t="shared" si="20"/>
        <v>0</v>
      </c>
      <c r="J128" s="91"/>
    </row>
    <row r="129" spans="2:11" ht="15" hidden="1" customHeight="1">
      <c r="B129" s="181">
        <v>10.09</v>
      </c>
      <c r="C129" s="185"/>
      <c r="D129" s="186"/>
      <c r="E129" s="186"/>
      <c r="F129" s="126">
        <f t="shared" si="19"/>
        <v>0</v>
      </c>
      <c r="G129" s="178"/>
      <c r="H129" s="178"/>
      <c r="I129" s="126">
        <f t="shared" si="20"/>
        <v>0</v>
      </c>
      <c r="J129" s="91"/>
    </row>
    <row r="130" spans="2:11" ht="15" hidden="1" customHeight="1">
      <c r="B130" s="181">
        <v>10.090999999999999</v>
      </c>
      <c r="C130" s="185"/>
      <c r="D130" s="186"/>
      <c r="E130" s="186"/>
      <c r="F130" s="126">
        <f t="shared" si="19"/>
        <v>0</v>
      </c>
      <c r="G130" s="178"/>
      <c r="H130" s="178"/>
      <c r="I130" s="126">
        <f t="shared" si="20"/>
        <v>0</v>
      </c>
      <c r="J130" s="91"/>
    </row>
    <row r="131" spans="2:11" ht="15" hidden="1" customHeight="1">
      <c r="B131" s="181">
        <v>10.092000000000001</v>
      </c>
      <c r="C131" s="185"/>
      <c r="D131" s="186"/>
      <c r="E131" s="186"/>
      <c r="F131" s="126">
        <f t="shared" si="19"/>
        <v>0</v>
      </c>
      <c r="G131" s="178"/>
      <c r="H131" s="178"/>
      <c r="I131" s="126">
        <f t="shared" si="20"/>
        <v>0</v>
      </c>
      <c r="J131" s="91"/>
    </row>
    <row r="132" spans="2:11" ht="15" hidden="1" customHeight="1">
      <c r="B132" s="181">
        <v>10.093</v>
      </c>
      <c r="C132" s="185"/>
      <c r="D132" s="186"/>
      <c r="E132" s="186"/>
      <c r="F132" s="126">
        <f t="shared" si="19"/>
        <v>0</v>
      </c>
      <c r="G132" s="178"/>
      <c r="H132" s="178"/>
      <c r="I132" s="126">
        <f t="shared" si="20"/>
        <v>0</v>
      </c>
      <c r="J132" s="91"/>
    </row>
    <row r="133" spans="2:11" ht="15" hidden="1" customHeight="1">
      <c r="B133" s="181">
        <v>10.093999999999999</v>
      </c>
      <c r="C133" s="185"/>
      <c r="D133" s="186"/>
      <c r="E133" s="186"/>
      <c r="F133" s="126">
        <f t="shared" si="19"/>
        <v>0</v>
      </c>
      <c r="G133" s="178"/>
      <c r="H133" s="178"/>
      <c r="I133" s="126">
        <f t="shared" si="20"/>
        <v>0</v>
      </c>
      <c r="J133" s="91"/>
    </row>
    <row r="134" spans="2:11" ht="15" hidden="1" customHeight="1">
      <c r="B134" s="181">
        <v>10.095000000000001</v>
      </c>
      <c r="C134" s="211"/>
      <c r="D134" s="206"/>
      <c r="E134" s="206"/>
      <c r="F134" s="149">
        <f t="shared" si="19"/>
        <v>0</v>
      </c>
      <c r="G134" s="178"/>
      <c r="H134" s="178"/>
      <c r="I134" s="149">
        <f t="shared" si="20"/>
        <v>0</v>
      </c>
      <c r="J134" s="91"/>
    </row>
    <row r="135" spans="2:11" ht="15" hidden="1" customHeight="1">
      <c r="B135" s="181">
        <v>10.096</v>
      </c>
      <c r="C135" s="131" t="s">
        <v>147</v>
      </c>
      <c r="D135" s="132">
        <f t="shared" ref="D135:I135" si="21">SUM(D125:D134)</f>
        <v>0</v>
      </c>
      <c r="E135" s="132">
        <f t="shared" si="21"/>
        <v>0</v>
      </c>
      <c r="F135" s="132">
        <f t="shared" si="21"/>
        <v>0</v>
      </c>
      <c r="G135" s="132">
        <f t="shared" si="21"/>
        <v>0</v>
      </c>
      <c r="H135" s="132">
        <f t="shared" si="21"/>
        <v>0</v>
      </c>
      <c r="I135" s="132">
        <f t="shared" si="21"/>
        <v>0</v>
      </c>
      <c r="J135" s="91"/>
    </row>
    <row r="136" spans="2:11" ht="9.75" hidden="1" customHeight="1">
      <c r="B136" s="181"/>
      <c r="C136" s="87"/>
      <c r="D136" s="87"/>
      <c r="E136" s="87"/>
      <c r="F136" s="87"/>
      <c r="G136" s="87"/>
      <c r="H136" s="87"/>
      <c r="I136" s="87"/>
      <c r="J136" s="91"/>
      <c r="K136" s="119"/>
    </row>
    <row r="137" spans="2:11" ht="15" hidden="1" customHeight="1">
      <c r="B137" s="181"/>
      <c r="C137" s="154" t="s">
        <v>148</v>
      </c>
      <c r="D137" s="146"/>
      <c r="E137" s="146"/>
      <c r="F137" s="146"/>
      <c r="G137" s="146"/>
      <c r="H137" s="146"/>
      <c r="I137" s="147"/>
      <c r="J137" s="91"/>
    </row>
    <row r="138" spans="2:11" ht="15" hidden="1" customHeight="1">
      <c r="B138" s="181">
        <v>10.097</v>
      </c>
      <c r="C138" s="185"/>
      <c r="D138" s="186"/>
      <c r="E138" s="186"/>
      <c r="F138" s="144">
        <f t="shared" ref="F138:F148" si="22">E138-D138</f>
        <v>0</v>
      </c>
      <c r="G138" s="178"/>
      <c r="H138" s="178"/>
      <c r="I138" s="126">
        <f t="shared" ref="I138:I148" si="23">H138-G138</f>
        <v>0</v>
      </c>
      <c r="J138" s="91"/>
    </row>
    <row r="139" spans="2:11" ht="15" hidden="1" customHeight="1">
      <c r="B139" s="181">
        <v>10.098000000000001</v>
      </c>
      <c r="C139" s="185"/>
      <c r="D139" s="186"/>
      <c r="E139" s="186"/>
      <c r="F139" s="126">
        <f t="shared" si="22"/>
        <v>0</v>
      </c>
      <c r="G139" s="178"/>
      <c r="H139" s="178"/>
      <c r="I139" s="126">
        <f t="shared" si="23"/>
        <v>0</v>
      </c>
      <c r="J139" s="91"/>
    </row>
    <row r="140" spans="2:11" ht="15" hidden="1" customHeight="1">
      <c r="B140" s="181">
        <v>10.099</v>
      </c>
      <c r="C140" s="185"/>
      <c r="D140" s="186"/>
      <c r="E140" s="186"/>
      <c r="F140" s="126">
        <f t="shared" si="22"/>
        <v>0</v>
      </c>
      <c r="G140" s="178"/>
      <c r="H140" s="178"/>
      <c r="I140" s="126">
        <f t="shared" si="23"/>
        <v>0</v>
      </c>
      <c r="J140" s="91"/>
    </row>
    <row r="141" spans="2:11" ht="15" hidden="1" customHeight="1">
      <c r="B141" s="181">
        <v>10.1</v>
      </c>
      <c r="C141" s="185"/>
      <c r="D141" s="186"/>
      <c r="E141" s="186"/>
      <c r="F141" s="126">
        <f t="shared" si="22"/>
        <v>0</v>
      </c>
      <c r="G141" s="178"/>
      <c r="H141" s="178"/>
      <c r="I141" s="126">
        <f t="shared" si="23"/>
        <v>0</v>
      </c>
      <c r="J141" s="91"/>
    </row>
    <row r="142" spans="2:11" ht="15" hidden="1" customHeight="1">
      <c r="B142" s="181">
        <v>10.101000000000001</v>
      </c>
      <c r="C142" s="185"/>
      <c r="D142" s="186"/>
      <c r="E142" s="186"/>
      <c r="F142" s="126">
        <f t="shared" si="22"/>
        <v>0</v>
      </c>
      <c r="G142" s="178"/>
      <c r="H142" s="178"/>
      <c r="I142" s="126">
        <f t="shared" si="23"/>
        <v>0</v>
      </c>
      <c r="J142" s="91"/>
    </row>
    <row r="143" spans="2:11" ht="15" hidden="1" customHeight="1">
      <c r="B143" s="181">
        <v>10.102</v>
      </c>
      <c r="C143" s="185"/>
      <c r="D143" s="186"/>
      <c r="E143" s="186"/>
      <c r="F143" s="126">
        <f t="shared" si="22"/>
        <v>0</v>
      </c>
      <c r="G143" s="178"/>
      <c r="H143" s="178"/>
      <c r="I143" s="126">
        <f t="shared" si="23"/>
        <v>0</v>
      </c>
      <c r="J143" s="91"/>
    </row>
    <row r="144" spans="2:11" ht="15" hidden="1" customHeight="1">
      <c r="B144" s="181">
        <v>10.103</v>
      </c>
      <c r="C144" s="185"/>
      <c r="D144" s="186"/>
      <c r="E144" s="186"/>
      <c r="F144" s="126">
        <f t="shared" si="22"/>
        <v>0</v>
      </c>
      <c r="G144" s="178"/>
      <c r="H144" s="178"/>
      <c r="I144" s="126">
        <f t="shared" si="23"/>
        <v>0</v>
      </c>
      <c r="J144" s="91"/>
    </row>
    <row r="145" spans="2:11" ht="15" hidden="1" customHeight="1">
      <c r="B145" s="181">
        <v>10.103999999999999</v>
      </c>
      <c r="C145" s="185"/>
      <c r="D145" s="186"/>
      <c r="E145" s="186"/>
      <c r="F145" s="126">
        <f t="shared" si="22"/>
        <v>0</v>
      </c>
      <c r="G145" s="178"/>
      <c r="H145" s="178"/>
      <c r="I145" s="126">
        <f t="shared" si="23"/>
        <v>0</v>
      </c>
      <c r="J145" s="91"/>
    </row>
    <row r="146" spans="2:11" ht="15" hidden="1" customHeight="1">
      <c r="B146" s="181">
        <v>10.105</v>
      </c>
      <c r="C146" s="185"/>
      <c r="D146" s="186"/>
      <c r="E146" s="186"/>
      <c r="F146" s="126">
        <f t="shared" si="22"/>
        <v>0</v>
      </c>
      <c r="G146" s="178"/>
      <c r="H146" s="178"/>
      <c r="I146" s="126">
        <f t="shared" si="23"/>
        <v>0</v>
      </c>
      <c r="J146" s="91"/>
    </row>
    <row r="147" spans="2:11" ht="15" hidden="1" customHeight="1">
      <c r="B147" s="181">
        <v>10.106</v>
      </c>
      <c r="C147" s="185"/>
      <c r="D147" s="186"/>
      <c r="E147" s="186"/>
      <c r="F147" s="126">
        <f t="shared" si="22"/>
        <v>0</v>
      </c>
      <c r="G147" s="178"/>
      <c r="H147" s="178"/>
      <c r="I147" s="126">
        <f t="shared" si="23"/>
        <v>0</v>
      </c>
      <c r="J147" s="91"/>
    </row>
    <row r="148" spans="2:11" ht="15" hidden="1" customHeight="1">
      <c r="B148" s="181">
        <v>10.106999999999999</v>
      </c>
      <c r="C148" s="155" t="s">
        <v>85</v>
      </c>
      <c r="D148" s="206"/>
      <c r="E148" s="206"/>
      <c r="F148" s="149">
        <f t="shared" si="22"/>
        <v>0</v>
      </c>
      <c r="G148" s="178"/>
      <c r="H148" s="178"/>
      <c r="I148" s="149">
        <f t="shared" si="23"/>
        <v>0</v>
      </c>
      <c r="J148" s="91"/>
    </row>
    <row r="149" spans="2:11" ht="15" hidden="1" customHeight="1">
      <c r="B149" s="181">
        <v>10.108000000000001</v>
      </c>
      <c r="C149" s="131" t="s">
        <v>147</v>
      </c>
      <c r="D149" s="132">
        <f t="shared" ref="D149:I149" si="24">SUM(D138:D148)</f>
        <v>0</v>
      </c>
      <c r="E149" s="132">
        <f t="shared" si="24"/>
        <v>0</v>
      </c>
      <c r="F149" s="132">
        <f t="shared" si="24"/>
        <v>0</v>
      </c>
      <c r="G149" s="132">
        <f t="shared" si="24"/>
        <v>0</v>
      </c>
      <c r="H149" s="132">
        <f>SUM(H138:H148)</f>
        <v>0</v>
      </c>
      <c r="I149" s="132">
        <f t="shared" si="24"/>
        <v>0</v>
      </c>
      <c r="J149" s="91"/>
    </row>
    <row r="150" spans="2:11" ht="15" hidden="1" customHeight="1" thickBot="1">
      <c r="B150" s="197"/>
      <c r="C150" s="109"/>
      <c r="D150" s="109"/>
      <c r="E150" s="109"/>
      <c r="F150" s="109"/>
      <c r="G150" s="109"/>
      <c r="H150" s="109"/>
      <c r="I150" s="109"/>
      <c r="J150" s="110"/>
    </row>
    <row r="151" spans="2:11" ht="15" customHeight="1">
      <c r="B151" s="201"/>
      <c r="C151" s="202"/>
      <c r="D151" s="202"/>
      <c r="E151" s="202"/>
      <c r="F151" s="202"/>
      <c r="G151" s="202"/>
      <c r="H151" s="202"/>
      <c r="I151" s="202"/>
      <c r="J151" s="203"/>
      <c r="K151" s="119"/>
    </row>
    <row r="152" spans="2:11" ht="15" hidden="1" customHeight="1">
      <c r="B152" s="179"/>
      <c r="C152" s="80"/>
      <c r="D152" s="80"/>
      <c r="E152" s="80"/>
      <c r="F152" s="80"/>
      <c r="G152" s="80"/>
      <c r="H152" s="80"/>
      <c r="I152" s="80"/>
      <c r="J152" s="82"/>
      <c r="K152" s="119"/>
    </row>
    <row r="153" spans="2:11" ht="15" hidden="1" customHeight="1">
      <c r="B153" s="181"/>
      <c r="C153" s="343" t="s">
        <v>149</v>
      </c>
      <c r="D153" s="345" t="s">
        <v>1</v>
      </c>
      <c r="E153" s="345"/>
      <c r="F153" s="345"/>
      <c r="G153" s="345" t="s">
        <v>116</v>
      </c>
      <c r="H153" s="345"/>
      <c r="I153" s="345"/>
      <c r="J153" s="91"/>
    </row>
    <row r="154" spans="2:11" ht="45" hidden="1" customHeight="1">
      <c r="B154" s="182" t="s">
        <v>56</v>
      </c>
      <c r="C154" s="344"/>
      <c r="D154" s="125" t="s">
        <v>57</v>
      </c>
      <c r="E154" s="125" t="s">
        <v>58</v>
      </c>
      <c r="F154" s="125" t="s">
        <v>59</v>
      </c>
      <c r="G154" s="125" t="s">
        <v>60</v>
      </c>
      <c r="H154" s="125" t="s">
        <v>61</v>
      </c>
      <c r="I154" s="125" t="s">
        <v>62</v>
      </c>
      <c r="J154" s="91"/>
    </row>
    <row r="155" spans="2:11" ht="15" hidden="1" customHeight="1">
      <c r="B155" s="181"/>
      <c r="C155" s="209" t="s">
        <v>150</v>
      </c>
      <c r="D155" s="146"/>
      <c r="E155" s="146"/>
      <c r="F155" s="146"/>
      <c r="G155" s="146"/>
      <c r="H155" s="146"/>
      <c r="I155" s="147"/>
      <c r="J155" s="91"/>
    </row>
    <row r="156" spans="2:11" ht="15" hidden="1" customHeight="1">
      <c r="B156" s="181">
        <v>10.109</v>
      </c>
      <c r="C156" s="185"/>
      <c r="D156" s="186"/>
      <c r="E156" s="186"/>
      <c r="F156" s="144">
        <f t="shared" ref="F156:F163" si="25">E156-D156</f>
        <v>0</v>
      </c>
      <c r="G156" s="178"/>
      <c r="H156" s="178"/>
      <c r="I156" s="126">
        <f t="shared" ref="I156:I163" si="26">H156-G156</f>
        <v>0</v>
      </c>
      <c r="J156" s="91"/>
    </row>
    <row r="157" spans="2:11" ht="15" hidden="1" customHeight="1">
      <c r="B157" s="181">
        <v>10.11</v>
      </c>
      <c r="C157" s="185"/>
      <c r="D157" s="186"/>
      <c r="E157" s="186"/>
      <c r="F157" s="126">
        <f t="shared" si="25"/>
        <v>0</v>
      </c>
      <c r="G157" s="178"/>
      <c r="H157" s="178"/>
      <c r="I157" s="126">
        <f t="shared" si="26"/>
        <v>0</v>
      </c>
      <c r="J157" s="91"/>
    </row>
    <row r="158" spans="2:11" ht="15" hidden="1" customHeight="1">
      <c r="B158" s="181">
        <v>10.111000000000001</v>
      </c>
      <c r="C158" s="185"/>
      <c r="D158" s="186"/>
      <c r="E158" s="186"/>
      <c r="F158" s="126">
        <f t="shared" si="25"/>
        <v>0</v>
      </c>
      <c r="G158" s="178"/>
      <c r="H158" s="178"/>
      <c r="I158" s="126">
        <f t="shared" si="26"/>
        <v>0</v>
      </c>
      <c r="J158" s="91"/>
    </row>
    <row r="159" spans="2:11" ht="15" hidden="1" customHeight="1">
      <c r="B159" s="181">
        <v>10.112</v>
      </c>
      <c r="C159" s="185"/>
      <c r="D159" s="186"/>
      <c r="E159" s="186"/>
      <c r="F159" s="126">
        <f t="shared" si="25"/>
        <v>0</v>
      </c>
      <c r="G159" s="178"/>
      <c r="H159" s="178"/>
      <c r="I159" s="126">
        <f t="shared" si="26"/>
        <v>0</v>
      </c>
      <c r="J159" s="91"/>
    </row>
    <row r="160" spans="2:11" ht="15" hidden="1" customHeight="1">
      <c r="B160" s="181">
        <v>10.113</v>
      </c>
      <c r="C160" s="185"/>
      <c r="D160" s="186"/>
      <c r="E160" s="186"/>
      <c r="F160" s="126">
        <f t="shared" si="25"/>
        <v>0</v>
      </c>
      <c r="G160" s="178"/>
      <c r="H160" s="178"/>
      <c r="I160" s="126">
        <f t="shared" si="26"/>
        <v>0</v>
      </c>
      <c r="J160" s="91"/>
    </row>
    <row r="161" spans="2:11" ht="15" hidden="1" customHeight="1">
      <c r="B161" s="181">
        <v>10.114000000000001</v>
      </c>
      <c r="C161" s="185"/>
      <c r="D161" s="186"/>
      <c r="E161" s="186"/>
      <c r="F161" s="126">
        <f t="shared" si="25"/>
        <v>0</v>
      </c>
      <c r="G161" s="178"/>
      <c r="H161" s="178"/>
      <c r="I161" s="126">
        <f t="shared" si="26"/>
        <v>0</v>
      </c>
      <c r="J161" s="91"/>
    </row>
    <row r="162" spans="2:11" ht="15" hidden="1" customHeight="1">
      <c r="B162" s="181">
        <v>10.115</v>
      </c>
      <c r="C162" s="185"/>
      <c r="D162" s="186"/>
      <c r="E162" s="186"/>
      <c r="F162" s="126">
        <f t="shared" si="25"/>
        <v>0</v>
      </c>
      <c r="G162" s="178"/>
      <c r="H162" s="178"/>
      <c r="I162" s="126">
        <f t="shared" si="26"/>
        <v>0</v>
      </c>
      <c r="J162" s="91"/>
    </row>
    <row r="163" spans="2:11" ht="15" hidden="1" customHeight="1">
      <c r="B163" s="181">
        <v>10.116</v>
      </c>
      <c r="C163" s="185"/>
      <c r="D163" s="186"/>
      <c r="E163" s="186"/>
      <c r="F163" s="126">
        <f t="shared" si="25"/>
        <v>0</v>
      </c>
      <c r="G163" s="178"/>
      <c r="H163" s="178"/>
      <c r="I163" s="126">
        <f t="shared" si="26"/>
        <v>0</v>
      </c>
      <c r="J163" s="91"/>
    </row>
    <row r="164" spans="2:11" ht="15" hidden="1" customHeight="1">
      <c r="B164" s="181">
        <v>10.117000000000001</v>
      </c>
      <c r="C164" s="190" t="s">
        <v>151</v>
      </c>
      <c r="D164" s="152">
        <f t="shared" ref="D164:I164" si="27">SUM(D156:D163)</f>
        <v>0</v>
      </c>
      <c r="E164" s="152">
        <f t="shared" si="27"/>
        <v>0</v>
      </c>
      <c r="F164" s="152">
        <f t="shared" si="27"/>
        <v>0</v>
      </c>
      <c r="G164" s="152">
        <f t="shared" si="27"/>
        <v>0</v>
      </c>
      <c r="H164" s="152">
        <f t="shared" si="27"/>
        <v>0</v>
      </c>
      <c r="I164" s="152">
        <f t="shared" si="27"/>
        <v>0</v>
      </c>
      <c r="J164" s="91"/>
    </row>
    <row r="165" spans="2:11" ht="9.75" hidden="1" customHeight="1">
      <c r="B165" s="181"/>
      <c r="C165" s="212"/>
      <c r="D165" s="208"/>
      <c r="E165" s="208"/>
      <c r="F165" s="208"/>
      <c r="G165" s="208"/>
      <c r="H165" s="208"/>
      <c r="I165" s="208"/>
      <c r="J165" s="91"/>
    </row>
    <row r="166" spans="2:11" ht="15" hidden="1" customHeight="1">
      <c r="B166" s="181">
        <v>10.118</v>
      </c>
      <c r="C166" s="213" t="s">
        <v>152</v>
      </c>
      <c r="D166" s="214">
        <f>D164+D93</f>
        <v>1711</v>
      </c>
      <c r="E166" s="214">
        <f>E164+E93</f>
        <v>1711</v>
      </c>
      <c r="F166" s="214">
        <f>E166-D166</f>
        <v>0</v>
      </c>
      <c r="G166" s="214">
        <f>G164+G93</f>
        <v>9947</v>
      </c>
      <c r="H166" s="214">
        <f>H164+H93</f>
        <v>9947</v>
      </c>
      <c r="I166" s="214">
        <f>H166-G166</f>
        <v>0</v>
      </c>
      <c r="J166" s="91"/>
      <c r="K166" s="119"/>
    </row>
    <row r="167" spans="2:11" ht="9.75" hidden="1" customHeight="1">
      <c r="B167" s="181"/>
      <c r="C167" s="87"/>
      <c r="D167" s="87"/>
      <c r="E167" s="87"/>
      <c r="F167" s="87"/>
      <c r="G167" s="87"/>
      <c r="H167" s="87"/>
      <c r="I167" s="87"/>
      <c r="J167" s="91"/>
      <c r="K167" s="119"/>
    </row>
    <row r="168" spans="2:11" ht="15" hidden="1" customHeight="1">
      <c r="B168" s="181"/>
      <c r="C168" s="209" t="s">
        <v>153</v>
      </c>
      <c r="D168" s="146"/>
      <c r="E168" s="146"/>
      <c r="F168" s="146"/>
      <c r="G168" s="146"/>
      <c r="H168" s="146"/>
      <c r="I168" s="147"/>
      <c r="J168" s="91"/>
    </row>
    <row r="169" spans="2:11" ht="15" hidden="1" customHeight="1">
      <c r="B169" s="181">
        <v>10.119</v>
      </c>
      <c r="C169" s="187" t="s">
        <v>154</v>
      </c>
      <c r="D169" s="186"/>
      <c r="E169" s="186"/>
      <c r="F169" s="144">
        <f>E169-D169</f>
        <v>0</v>
      </c>
      <c r="G169" s="178"/>
      <c r="H169" s="178"/>
      <c r="I169" s="126">
        <f>H169-G169</f>
        <v>0</v>
      </c>
      <c r="J169" s="91"/>
    </row>
    <row r="170" spans="2:11" ht="15" hidden="1" customHeight="1">
      <c r="B170" s="181">
        <v>10.119999999999999</v>
      </c>
      <c r="C170" s="187" t="s">
        <v>155</v>
      </c>
      <c r="D170" s="186"/>
      <c r="E170" s="186"/>
      <c r="F170" s="126">
        <f>E170-D170</f>
        <v>0</v>
      </c>
      <c r="G170" s="178"/>
      <c r="H170" s="178"/>
      <c r="I170" s="126">
        <f>H170-G170</f>
        <v>0</v>
      </c>
      <c r="J170" s="91"/>
    </row>
    <row r="171" spans="2:11" ht="15" hidden="1" customHeight="1">
      <c r="B171" s="181">
        <v>10.121</v>
      </c>
      <c r="C171" s="187" t="s">
        <v>156</v>
      </c>
      <c r="D171" s="186"/>
      <c r="E171" s="186"/>
      <c r="F171" s="126">
        <f>E171-D171</f>
        <v>0</v>
      </c>
      <c r="G171" s="178"/>
      <c r="H171" s="178"/>
      <c r="I171" s="126">
        <f>H171-G171</f>
        <v>0</v>
      </c>
      <c r="J171" s="91"/>
    </row>
    <row r="172" spans="2:11" ht="15" hidden="1" customHeight="1">
      <c r="B172" s="181">
        <v>10.122</v>
      </c>
      <c r="C172" s="187" t="s">
        <v>157</v>
      </c>
      <c r="D172" s="186"/>
      <c r="E172" s="186"/>
      <c r="F172" s="126">
        <f>E172-D172</f>
        <v>0</v>
      </c>
      <c r="G172" s="178"/>
      <c r="H172" s="178"/>
      <c r="I172" s="126">
        <f>H172-G172</f>
        <v>0</v>
      </c>
      <c r="J172" s="91"/>
    </row>
    <row r="173" spans="2:11" ht="15" hidden="1" customHeight="1">
      <c r="B173" s="181">
        <v>10.122999999999999</v>
      </c>
      <c r="C173" s="187" t="s">
        <v>158</v>
      </c>
      <c r="D173" s="186"/>
      <c r="E173" s="186"/>
      <c r="F173" s="126">
        <f>E173-D173</f>
        <v>0</v>
      </c>
      <c r="G173" s="178"/>
      <c r="H173" s="178"/>
      <c r="I173" s="126">
        <f>H173-G173</f>
        <v>0</v>
      </c>
      <c r="J173" s="91"/>
    </row>
    <row r="174" spans="2:11" ht="15" hidden="1" customHeight="1">
      <c r="B174" s="181">
        <v>10.124000000000001</v>
      </c>
      <c r="C174" s="215" t="s">
        <v>151</v>
      </c>
      <c r="D174" s="132">
        <f t="shared" ref="D174:I174" si="28">SUM(D169:D173)</f>
        <v>0</v>
      </c>
      <c r="E174" s="132">
        <f t="shared" si="28"/>
        <v>0</v>
      </c>
      <c r="F174" s="132">
        <f t="shared" si="28"/>
        <v>0</v>
      </c>
      <c r="G174" s="132">
        <f t="shared" si="28"/>
        <v>0</v>
      </c>
      <c r="H174" s="132">
        <f t="shared" si="28"/>
        <v>0</v>
      </c>
      <c r="I174" s="132">
        <f t="shared" si="28"/>
        <v>0</v>
      </c>
      <c r="J174" s="91"/>
    </row>
    <row r="175" spans="2:11" ht="15" hidden="1" customHeight="1" thickBot="1">
      <c r="B175" s="197"/>
      <c r="C175" s="109"/>
      <c r="D175" s="109"/>
      <c r="E175" s="109"/>
      <c r="F175" s="109"/>
      <c r="G175" s="109"/>
      <c r="H175" s="109"/>
      <c r="I175" s="109"/>
      <c r="J175" s="110"/>
    </row>
    <row r="176" spans="2:11" ht="15" hidden="1" customHeight="1">
      <c r="D176" s="251" t="s">
        <v>171</v>
      </c>
    </row>
    <row r="177" spans="3:4" ht="15" hidden="1" customHeight="1"/>
    <row r="178" spans="3:4" ht="15" hidden="1" customHeight="1"/>
    <row r="179" spans="3:4" ht="15" hidden="1" customHeight="1">
      <c r="C179" s="122" t="s">
        <v>159</v>
      </c>
      <c r="D179" s="216">
        <f>IF(OR(G3="MAR 2013",G3="Month 13"),1,0)</f>
        <v>0</v>
      </c>
    </row>
    <row r="180" spans="3:4" ht="15" hidden="1" customHeight="1"/>
    <row r="181" spans="3:4" ht="15" hidden="1" customHeight="1"/>
    <row r="182" spans="3:4" ht="15" customHeight="1"/>
    <row r="183" spans="3:4" ht="15" customHeight="1"/>
    <row r="184" spans="3:4" ht="15" customHeight="1"/>
    <row r="185" spans="3:4" ht="15" customHeight="1"/>
    <row r="186" spans="3:4" ht="15" customHeight="1"/>
  </sheetData>
  <mergeCells count="16">
    <mergeCell ref="C89:I89"/>
    <mergeCell ref="C92:I92"/>
    <mergeCell ref="C5:C6"/>
    <mergeCell ref="D5:F5"/>
    <mergeCell ref="G5:I5"/>
    <mergeCell ref="C60:I60"/>
    <mergeCell ref="C79:I79"/>
    <mergeCell ref="C81:I81"/>
    <mergeCell ref="C87:I87"/>
    <mergeCell ref="C153:C154"/>
    <mergeCell ref="D153:F153"/>
    <mergeCell ref="G153:I153"/>
    <mergeCell ref="C103:I103"/>
    <mergeCell ref="C108:C109"/>
    <mergeCell ref="D108:F108"/>
    <mergeCell ref="G108:I108"/>
  </mergeCells>
  <phoneticPr fontId="25" type="noConversion"/>
  <conditionalFormatting sqref="G169:H173 G11:H35 G50:H53 G57:H58 G64:H71 G75:H77 G85:H85 G96:H101 G112:H121 G125:H134 G138:H148 G156:H163 G40:H40">
    <cfRule type="expression" dxfId="0" priority="1" stopIfTrue="1">
      <formula>AND($D$179=1,G11&lt;&gt;D11)</formula>
    </cfRule>
  </conditionalFormatting>
  <pageMargins left="0.75" right="0.75" top="1" bottom="1" header="0.5" footer="0.5"/>
  <pageSetup paperSize="9" scale="55"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6</vt:i4>
      </vt:variant>
    </vt:vector>
  </HeadingPairs>
  <TitlesOfParts>
    <vt:vector size="12" baseType="lpstr">
      <vt:lpstr>Summary</vt:lpstr>
      <vt:lpstr>Page 2 - Core Income </vt:lpstr>
      <vt:lpstr>Page 3 - Core Expenditure</vt:lpstr>
      <vt:lpstr>Page 4 - Non Core Income &amp; Exp</vt:lpstr>
      <vt:lpstr>Page 5 - Efficiency savings</vt:lpstr>
      <vt:lpstr>Page 6 - Capital Expenditure</vt:lpstr>
      <vt:lpstr>'Page 2 - Core Income '!Print_Area</vt:lpstr>
      <vt:lpstr>'Page 3 - Core Expenditure'!Print_Area</vt:lpstr>
      <vt:lpstr>'Page 4 - Non Core Income &amp; Exp'!Print_Area</vt:lpstr>
      <vt:lpstr>'Page 5 - Efficiency savings'!Print_Area</vt:lpstr>
      <vt:lpstr>'Page 6 - Capital Expenditure'!Print_Area</vt:lpstr>
      <vt:lpstr>Summary!Print_Area</vt:lpstr>
    </vt:vector>
  </TitlesOfParts>
  <Company>RDP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dempsieb</dc:creator>
  <cp:lastModifiedBy>PrenticeC</cp:lastModifiedBy>
  <cp:lastPrinted>2017-01-17T15:07:14Z</cp:lastPrinted>
  <dcterms:created xsi:type="dcterms:W3CDTF">2012-06-08T15:55:04Z</dcterms:created>
  <dcterms:modified xsi:type="dcterms:W3CDTF">2017-03-03T14:56:52Z</dcterms:modified>
</cp:coreProperties>
</file>